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stion TIC\Documents\SCRD MR\DLB\"/>
    </mc:Choice>
  </mc:AlternateContent>
  <bookViews>
    <workbookView xWindow="0" yWindow="0" windowWidth="20490" windowHeight="753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62913"/>
  <pivotCaches>
    <pivotCache cacheId="0" r:id="rId11"/>
    <pivotCache cacheId="1" r:id="rId12"/>
  </pivotCaches>
</workbook>
</file>

<file path=xl/calcChain.xml><?xml version="1.0" encoding="utf-8"?>
<calcChain xmlns="http://schemas.openxmlformats.org/spreadsheetml/2006/main">
  <c r="W58" i="1" l="1"/>
  <c r="T58" i="1"/>
  <c r="AE58" i="1" s="1"/>
  <c r="AD58" i="1" s="1"/>
  <c r="AE57" i="1"/>
  <c r="AD57" i="1"/>
  <c r="AA57" i="1"/>
  <c r="AC57" i="1" s="1"/>
  <c r="W57" i="1"/>
  <c r="T57" i="1"/>
  <c r="AE56" i="1"/>
  <c r="AD56" i="1"/>
  <c r="AA56" i="1"/>
  <c r="AC56" i="1" s="1"/>
  <c r="W56" i="1"/>
  <c r="T56" i="1"/>
  <c r="AE55" i="1"/>
  <c r="AD55" i="1"/>
  <c r="W55" i="1"/>
  <c r="T55" i="1"/>
  <c r="AE54" i="1"/>
  <c r="AD54" i="1"/>
  <c r="W54" i="1"/>
  <c r="T54" i="1"/>
  <c r="AA55" i="1" s="1"/>
  <c r="W53" i="1"/>
  <c r="T53" i="1"/>
  <c r="AA54" i="1" s="1"/>
  <c r="K53" i="1"/>
  <c r="L53" i="1" s="1"/>
  <c r="W48" i="1"/>
  <c r="T48" i="1"/>
  <c r="W49" i="1"/>
  <c r="T49" i="1"/>
  <c r="W42" i="1"/>
  <c r="T42" i="1"/>
  <c r="W44" i="1"/>
  <c r="T44" i="1"/>
  <c r="W43" i="1"/>
  <c r="T43" i="1"/>
  <c r="W32" i="1"/>
  <c r="T32" i="1"/>
  <c r="W28" i="1"/>
  <c r="T28" i="1"/>
  <c r="W27" i="1"/>
  <c r="T27" i="1"/>
  <c r="W31" i="1"/>
  <c r="T31" i="1"/>
  <c r="W30" i="1"/>
  <c r="T30" i="1"/>
  <c r="W29" i="1"/>
  <c r="T29" i="1"/>
  <c r="N56" i="1"/>
  <c r="N55" i="1"/>
  <c r="N54" i="1"/>
  <c r="N58" i="1"/>
  <c r="N57" i="1"/>
  <c r="AB54" i="1" l="1"/>
  <c r="AF54" i="1" s="1"/>
  <c r="AC54" i="1"/>
  <c r="AC55" i="1"/>
  <c r="AB55" i="1"/>
  <c r="AF55" i="1" s="1"/>
  <c r="AB56" i="1"/>
  <c r="AF56" i="1" s="1"/>
  <c r="AB57" i="1"/>
  <c r="AF57" i="1" s="1"/>
  <c r="AA58" i="1"/>
  <c r="AA53" i="1"/>
  <c r="W37" i="1"/>
  <c r="T37" i="1"/>
  <c r="W35" i="1"/>
  <c r="W40" i="1"/>
  <c r="T40" i="1"/>
  <c r="W39" i="1"/>
  <c r="T39" i="1"/>
  <c r="AA40" i="1" s="1"/>
  <c r="W38" i="1"/>
  <c r="T38" i="1"/>
  <c r="AE38" i="1" s="1"/>
  <c r="AD38" i="1" s="1"/>
  <c r="W36" i="1"/>
  <c r="T36" i="1"/>
  <c r="T35" i="1"/>
  <c r="K35" i="1"/>
  <c r="W25" i="1"/>
  <c r="W24" i="1"/>
  <c r="W23" i="1"/>
  <c r="N38" i="1"/>
  <c r="N37" i="1"/>
  <c r="N40" i="1"/>
  <c r="N39" i="1"/>
  <c r="N36" i="1"/>
  <c r="AC53" i="1" l="1"/>
  <c r="AB53" i="1"/>
  <c r="AC58" i="1"/>
  <c r="AB58" i="1"/>
  <c r="AF58" i="1" s="1"/>
  <c r="AE40" i="1"/>
  <c r="AD40" i="1" s="1"/>
  <c r="AE39" i="1"/>
  <c r="AD39" i="1" s="1"/>
  <c r="AC40" i="1"/>
  <c r="AB40" i="1"/>
  <c r="L35" i="1"/>
  <c r="AA35" i="1" s="1"/>
  <c r="AA38" i="1"/>
  <c r="AA39" i="1"/>
  <c r="W75" i="1"/>
  <c r="T75" i="1"/>
  <c r="W74" i="1"/>
  <c r="T74" i="1"/>
  <c r="W73" i="1"/>
  <c r="T73" i="1"/>
  <c r="W72" i="1"/>
  <c r="T72" i="1"/>
  <c r="W71" i="1"/>
  <c r="T71" i="1"/>
  <c r="W46" i="1"/>
  <c r="T46" i="1"/>
  <c r="W45" i="1"/>
  <c r="T45" i="1"/>
  <c r="W41" i="1"/>
  <c r="T41" i="1"/>
  <c r="K41" i="1"/>
  <c r="L41" i="1" s="1"/>
  <c r="W34" i="1"/>
  <c r="T34" i="1"/>
  <c r="W33" i="1"/>
  <c r="T33" i="1"/>
  <c r="AE33" i="1"/>
  <c r="AD33" i="1" s="1"/>
  <c r="K29" i="1"/>
  <c r="L29" i="1" s="1"/>
  <c r="W26" i="1"/>
  <c r="T26" i="1"/>
  <c r="T25" i="1"/>
  <c r="T24" i="1"/>
  <c r="T23" i="1"/>
  <c r="K23" i="1"/>
  <c r="L23" i="1" s="1"/>
  <c r="N46" i="1"/>
  <c r="N32" i="1"/>
  <c r="N33" i="1"/>
  <c r="N45" i="1"/>
  <c r="N31" i="1"/>
  <c r="N44" i="1"/>
  <c r="N28" i="1"/>
  <c r="N43" i="1"/>
  <c r="N27" i="1"/>
  <c r="N42" i="1"/>
  <c r="N26" i="1"/>
  <c r="N34" i="1"/>
  <c r="N24" i="1"/>
  <c r="N30" i="1"/>
  <c r="N25" i="1"/>
  <c r="AF40" i="1" l="1"/>
  <c r="AC35" i="1"/>
  <c r="AA36" i="1" s="1"/>
  <c r="AB35" i="1"/>
  <c r="AB39" i="1"/>
  <c r="AF39" i="1" s="1"/>
  <c r="AC39" i="1"/>
  <c r="AC38" i="1"/>
  <c r="AB38" i="1"/>
  <c r="AF38" i="1" s="1"/>
  <c r="AE45" i="1"/>
  <c r="AD45" i="1" s="1"/>
  <c r="AA33" i="1"/>
  <c r="AB33" i="1" s="1"/>
  <c r="AF33" i="1" s="1"/>
  <c r="AA34" i="1"/>
  <c r="AB34" i="1" s="1"/>
  <c r="AA41" i="1"/>
  <c r="AC41" i="1" s="1"/>
  <c r="AA42" i="1" s="1"/>
  <c r="AB42" i="1" s="1"/>
  <c r="AA45" i="1"/>
  <c r="AC45" i="1" s="1"/>
  <c r="AA43" i="1"/>
  <c r="AC43" i="1" s="1"/>
  <c r="AA44" i="1" s="1"/>
  <c r="AB44" i="1" s="1"/>
  <c r="AE46" i="1"/>
  <c r="AD46" i="1" s="1"/>
  <c r="AE34" i="1"/>
  <c r="AD34" i="1" s="1"/>
  <c r="AA46" i="1"/>
  <c r="AA29" i="1"/>
  <c r="AA23" i="1"/>
  <c r="AC33" i="1" l="1"/>
  <c r="AB36" i="1"/>
  <c r="AC36" i="1"/>
  <c r="AA37" i="1" s="1"/>
  <c r="AF34" i="1"/>
  <c r="AC34" i="1"/>
  <c r="AB45" i="1"/>
  <c r="AF45" i="1" s="1"/>
  <c r="AC42" i="1"/>
  <c r="AB43" i="1"/>
  <c r="AC44" i="1"/>
  <c r="AB41" i="1"/>
  <c r="AC46" i="1"/>
  <c r="AB46" i="1"/>
  <c r="AF46" i="1" s="1"/>
  <c r="AC29" i="1"/>
  <c r="AA30" i="1" s="1"/>
  <c r="AB29" i="1"/>
  <c r="AC23" i="1"/>
  <c r="AA24" i="1" s="1"/>
  <c r="AB23" i="1"/>
  <c r="AC37" i="1" l="1"/>
  <c r="AB37" i="1"/>
  <c r="AB30" i="1"/>
  <c r="AC30" i="1"/>
  <c r="AA31" i="1" s="1"/>
  <c r="AB24" i="1"/>
  <c r="AC24" i="1"/>
  <c r="AA25" i="1" s="1"/>
  <c r="AB31" i="1" l="1"/>
  <c r="AC31" i="1"/>
  <c r="AA32" i="1" s="1"/>
  <c r="AC25" i="1"/>
  <c r="AA26" i="1" s="1"/>
  <c r="AB25" i="1"/>
  <c r="AC32" i="1" l="1"/>
  <c r="AB32" i="1"/>
  <c r="AC26" i="1"/>
  <c r="AA27" i="1" s="1"/>
  <c r="AB26" i="1"/>
  <c r="AB27" i="1" l="1"/>
  <c r="AC27" i="1"/>
  <c r="AA28" i="1" s="1"/>
  <c r="AC28" i="1" l="1"/>
  <c r="AB28" i="1"/>
  <c r="K47" i="1" l="1"/>
  <c r="L47" i="1"/>
  <c r="T47" i="1"/>
  <c r="W47" i="1"/>
  <c r="N48" i="1"/>
  <c r="AA47" i="1" l="1"/>
  <c r="AC47" i="1" s="1"/>
  <c r="N49" i="1"/>
  <c r="AB47" i="1" l="1"/>
  <c r="AA48" i="1"/>
  <c r="N50" i="1"/>
  <c r="AB48" i="1" l="1"/>
  <c r="AC48" i="1"/>
  <c r="AA49" i="1" s="1"/>
  <c r="T50" i="1"/>
  <c r="AE50" i="1" s="1"/>
  <c r="AD50" i="1" s="1"/>
  <c r="W50" i="1"/>
  <c r="N51" i="1"/>
  <c r="AA50" i="1" l="1"/>
  <c r="AB50" i="1" s="1"/>
  <c r="AF50" i="1" s="1"/>
  <c r="AC49" i="1"/>
  <c r="AB49" i="1"/>
  <c r="T51" i="1"/>
  <c r="AE51" i="1" s="1"/>
  <c r="AD51" i="1" s="1"/>
  <c r="W51" i="1"/>
  <c r="N52" i="1"/>
  <c r="AA51" i="1" l="1"/>
  <c r="AB51" i="1" s="1"/>
  <c r="AF51" i="1" s="1"/>
  <c r="AC50" i="1"/>
  <c r="T52" i="1"/>
  <c r="AE52" i="1" s="1"/>
  <c r="AD52" i="1" s="1"/>
  <c r="W52" i="1"/>
  <c r="K59" i="1"/>
  <c r="L59" i="1"/>
  <c r="T59" i="1"/>
  <c r="W59" i="1"/>
  <c r="N60" i="1"/>
  <c r="AA59" i="1" l="1"/>
  <c r="AB59" i="1" s="1"/>
  <c r="AC51" i="1"/>
  <c r="AA52" i="1"/>
  <c r="T60" i="1"/>
  <c r="W60" i="1"/>
  <c r="N61" i="1"/>
  <c r="AA60" i="1" l="1"/>
  <c r="AC60" i="1" s="1"/>
  <c r="AC59" i="1"/>
  <c r="AB52" i="1"/>
  <c r="AF52" i="1" s="1"/>
  <c r="AC52" i="1"/>
  <c r="T61" i="1"/>
  <c r="AE61" i="1" s="1"/>
  <c r="AD61" i="1" s="1"/>
  <c r="W61" i="1"/>
  <c r="AA61" i="1"/>
  <c r="AC61" i="1" s="1"/>
  <c r="N62" i="1"/>
  <c r="AB60" i="1" l="1"/>
  <c r="AB61" i="1"/>
  <c r="AF61" i="1" s="1"/>
  <c r="T62" i="1"/>
  <c r="W62" i="1"/>
  <c r="AA62" i="1"/>
  <c r="AB62" i="1" s="1"/>
  <c r="AE62" i="1"/>
  <c r="AD62" i="1" s="1"/>
  <c r="N63" i="1"/>
  <c r="AF62" i="1" l="1"/>
  <c r="AC62" i="1"/>
  <c r="T63" i="1"/>
  <c r="AE63" i="1" s="1"/>
  <c r="AD63" i="1" s="1"/>
  <c r="W63" i="1"/>
  <c r="N70" i="1"/>
  <c r="AA63" i="1" l="1"/>
  <c r="T70" i="1"/>
  <c r="AA70" i="1" s="1"/>
  <c r="W70" i="1"/>
  <c r="W76" i="1"/>
  <c r="T76" i="1"/>
  <c r="AA76" i="1" s="1"/>
  <c r="AC76" i="1" s="1"/>
  <c r="AE75" i="1"/>
  <c r="AD75" i="1" s="1"/>
  <c r="AE74" i="1"/>
  <c r="AD74" i="1" s="1"/>
  <c r="K71" i="1"/>
  <c r="L71" i="1" s="1"/>
  <c r="AA71" i="1" s="1"/>
  <c r="N76" i="1"/>
  <c r="N72" i="1"/>
  <c r="N75" i="1"/>
  <c r="N74" i="1"/>
  <c r="N73" i="1"/>
  <c r="AE76" i="1" l="1"/>
  <c r="AD76" i="1" s="1"/>
  <c r="AB70" i="1"/>
  <c r="AC70" i="1"/>
  <c r="AE70" i="1"/>
  <c r="AD70" i="1" s="1"/>
  <c r="AA75" i="1"/>
  <c r="AB75" i="1" s="1"/>
  <c r="AF75" i="1" s="1"/>
  <c r="AB63" i="1"/>
  <c r="AF63" i="1" s="1"/>
  <c r="AC63" i="1"/>
  <c r="AC71" i="1"/>
  <c r="AA72" i="1" s="1"/>
  <c r="AB71" i="1"/>
  <c r="AA74" i="1"/>
  <c r="AB76" i="1"/>
  <c r="AF76" i="1" l="1"/>
  <c r="AC75" i="1"/>
  <c r="AF70" i="1"/>
  <c r="AC74" i="1"/>
  <c r="AB74" i="1"/>
  <c r="AF74" i="1" s="1"/>
  <c r="AB72" i="1"/>
  <c r="AC72" i="1"/>
  <c r="AA73" i="1" s="1"/>
  <c r="AC73" i="1" s="1"/>
  <c r="AB73" i="1" l="1"/>
  <c r="T12" i="1" l="1"/>
  <c r="T13" i="1"/>
  <c r="T14" i="1"/>
  <c r="T15" i="1"/>
  <c r="T16" i="1"/>
  <c r="T17" i="1"/>
  <c r="T18" i="1"/>
  <c r="T19" i="1"/>
  <c r="T20" i="1"/>
  <c r="T21" i="1"/>
  <c r="T22" i="1"/>
  <c r="T11" i="1"/>
  <c r="K11" i="1" l="1"/>
  <c r="G26" i="21"/>
  <c r="W11" i="1" l="1"/>
  <c r="L11" i="1"/>
  <c r="N20" i="1"/>
  <c r="N21" i="1"/>
  <c r="N19" i="1"/>
  <c r="N22" i="1"/>
  <c r="N18" i="1"/>
  <c r="F221" i="13" l="1"/>
  <c r="F211" i="13"/>
  <c r="F212" i="13"/>
  <c r="F213" i="13"/>
  <c r="F214" i="13"/>
  <c r="F215" i="13"/>
  <c r="F216" i="13"/>
  <c r="F217" i="13"/>
  <c r="F218" i="13"/>
  <c r="F219" i="13"/>
  <c r="F220" i="13"/>
  <c r="F210" i="13"/>
  <c r="N16" i="1"/>
  <c r="N13" i="1"/>
  <c r="N15" i="1"/>
  <c r="N14" i="1"/>
  <c r="N12" i="1"/>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K17" i="1" l="1"/>
  <c r="W22" i="1"/>
  <c r="W21" i="1"/>
  <c r="W20" i="1"/>
  <c r="W19" i="1"/>
  <c r="W18" i="1"/>
  <c r="W17" i="1"/>
  <c r="L17" i="1" l="1"/>
  <c r="AA17" i="1"/>
  <c r="AB17" i="1" l="1"/>
  <c r="AC17" i="1"/>
  <c r="AA18" i="1" s="1"/>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W12" i="1"/>
  <c r="W13" i="1"/>
  <c r="W14" i="1"/>
  <c r="W15" i="1"/>
  <c r="W16" i="1"/>
  <c r="AB18" i="1" l="1"/>
  <c r="AC18" i="1"/>
  <c r="AA19" i="1" s="1"/>
  <c r="AB19" i="1" s="1"/>
  <c r="AC19" i="1" l="1"/>
  <c r="AA20" i="1" s="1"/>
  <c r="AB20" i="1" s="1"/>
  <c r="AC20" i="1" l="1"/>
  <c r="AA21" i="1" s="1"/>
  <c r="AC21" i="1" s="1"/>
  <c r="AA22" i="1" s="1"/>
  <c r="AA11" i="1"/>
  <c r="AB11" i="1" s="1"/>
  <c r="AB21" i="1" l="1"/>
  <c r="AB22" i="1"/>
  <c r="AC22" i="1"/>
  <c r="AC11" i="1" l="1"/>
  <c r="AA12" i="1" s="1"/>
  <c r="AB12" i="1" l="1"/>
  <c r="AC12" i="1" l="1"/>
  <c r="AA13" i="1" s="1"/>
  <c r="AB13" i="1" s="1"/>
  <c r="AC13" i="1" l="1"/>
  <c r="AA14" i="1" s="1"/>
  <c r="AC14" i="1" l="1"/>
  <c r="AA15" i="1" s="1"/>
  <c r="AB15" i="1" l="1"/>
  <c r="AC15" i="1"/>
  <c r="AA16" i="1" s="1"/>
  <c r="AB14" i="1"/>
  <c r="AB16" i="1" l="1"/>
  <c r="AC16" i="1"/>
  <c r="AE13" i="1" l="1"/>
  <c r="AE20" i="1" l="1"/>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E14" i="1"/>
  <c r="AD14" i="1" s="1"/>
  <c r="AD13" i="1"/>
  <c r="AE15" i="1"/>
  <c r="AD15" i="1" l="1"/>
  <c r="AE16" i="1"/>
  <c r="AD16" i="1" s="1"/>
  <c r="AD20" i="1"/>
  <c r="AE21"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4"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AF13" i="1"/>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F20" i="1"/>
  <c r="AE47" i="19"/>
  <c r="Y17" i="19"/>
  <c r="AE7" i="19"/>
  <c r="M27" i="19"/>
  <c r="S47" i="19"/>
  <c r="M7" i="19"/>
  <c r="M37" i="19"/>
  <c r="S17" i="19"/>
  <c r="AK7" i="19"/>
  <c r="AK47" i="19"/>
  <c r="AK37"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AM46" i="19"/>
  <c r="U36" i="19"/>
  <c r="AG16" i="19"/>
  <c r="O6" i="19"/>
  <c r="AA36" i="19"/>
  <c r="AM16" i="19"/>
  <c r="U6" i="19"/>
  <c r="AG46" i="19"/>
  <c r="AA16" i="19"/>
  <c r="AF16" i="1"/>
  <c r="AA6" i="19"/>
  <c r="AG6" i="19"/>
  <c r="AA46" i="19"/>
  <c r="AM26" i="19"/>
  <c r="U16" i="19"/>
  <c r="O36" i="19"/>
  <c r="U26" i="19"/>
  <c r="O46" i="19"/>
  <c r="AA26" i="19"/>
  <c r="AM6" i="19"/>
  <c r="U46" i="19"/>
  <c r="AG26" i="19"/>
  <c r="O16" i="19"/>
  <c r="AG36" i="19"/>
  <c r="O26" i="19"/>
  <c r="AM36" i="19"/>
  <c r="AE22" i="1"/>
  <c r="AD22" i="1" s="1"/>
  <c r="AD21" i="1"/>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F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21" i="1"/>
  <c r="AF47" i="19"/>
  <c r="AL47" i="19"/>
  <c r="T27" i="19"/>
  <c r="Z37" i="19"/>
  <c r="T37" i="19"/>
  <c r="N37" i="19"/>
  <c r="N47" i="19"/>
  <c r="Z27" i="19"/>
  <c r="AL7" i="19"/>
  <c r="AL17" i="19"/>
  <c r="AF17" i="19"/>
  <c r="AL27" i="19"/>
  <c r="N27" i="19"/>
  <c r="N7" i="19"/>
  <c r="Z7" i="19"/>
  <c r="T47" i="19"/>
  <c r="AG37" i="19"/>
  <c r="AG47" i="19"/>
  <c r="U7" i="19"/>
  <c r="AM47" i="19"/>
  <c r="U27" i="19"/>
  <c r="O37" i="19"/>
  <c r="O17" i="19"/>
  <c r="AA7" i="19"/>
  <c r="AA47" i="19"/>
  <c r="O27" i="19"/>
  <c r="U37" i="19"/>
  <c r="AM17" i="19"/>
  <c r="AM37" i="19"/>
  <c r="AG27" i="19"/>
  <c r="AM7" i="19"/>
  <c r="AG7" i="19"/>
  <c r="AF22" i="1"/>
  <c r="AA17" i="19"/>
  <c r="O7" i="19"/>
  <c r="AA37" i="19"/>
  <c r="AA27" i="19"/>
  <c r="AM27" i="19"/>
  <c r="U17" i="19"/>
  <c r="U47" i="19"/>
  <c r="AG17" i="19"/>
  <c r="O47" i="19"/>
  <c r="B223" i="13"/>
  <c r="B222" i="13"/>
  <c r="N53" i="1" l="1"/>
  <c r="O53" i="1" s="1"/>
  <c r="Q53" i="1" s="1"/>
  <c r="N35" i="1"/>
  <c r="O35" i="1" s="1"/>
  <c r="P35" i="1" s="1"/>
  <c r="AE35" i="1" s="1"/>
  <c r="N41" i="1"/>
  <c r="O41" i="1" s="1"/>
  <c r="P41" i="1" s="1"/>
  <c r="N23" i="1"/>
  <c r="O23" i="1" s="1"/>
  <c r="Q23" i="1" s="1"/>
  <c r="N29" i="1"/>
  <c r="O29" i="1" s="1"/>
  <c r="N59" i="1"/>
  <c r="O59" i="1" s="1"/>
  <c r="N47" i="1"/>
  <c r="O47" i="1" s="1"/>
  <c r="N71" i="1"/>
  <c r="O71" i="1" s="1"/>
  <c r="N11" i="1"/>
  <c r="O11" i="1" s="1"/>
  <c r="N17" i="1"/>
  <c r="O17" i="1" s="1"/>
  <c r="P53" i="1" l="1"/>
  <c r="AE53" i="1" s="1"/>
  <c r="AD53" i="1" s="1"/>
  <c r="AF53" i="1" s="1"/>
  <c r="AE41" i="1"/>
  <c r="AD41" i="1" s="1"/>
  <c r="AF41" i="1" s="1"/>
  <c r="AE42" i="1"/>
  <c r="Q35" i="1"/>
  <c r="AD35" i="1"/>
  <c r="AF35" i="1" s="1"/>
  <c r="AE36" i="1"/>
  <c r="Q41" i="1"/>
  <c r="P23" i="1"/>
  <c r="AE23" i="1" s="1"/>
  <c r="AD23" i="1" s="1"/>
  <c r="AF23" i="1" s="1"/>
  <c r="P29" i="1"/>
  <c r="AE29" i="1" s="1"/>
  <c r="Q29" i="1"/>
  <c r="P47" i="1"/>
  <c r="AE47" i="1" s="1"/>
  <c r="Q47" i="1"/>
  <c r="P59" i="1"/>
  <c r="AE59" i="1" s="1"/>
  <c r="Q59" i="1"/>
  <c r="P71" i="1"/>
  <c r="AE71" i="1" s="1"/>
  <c r="Q71" i="1"/>
  <c r="X6" i="18"/>
  <c r="AJ30" i="18"/>
  <c r="R22" i="18"/>
  <c r="L6" i="18"/>
  <c r="R30" i="18"/>
  <c r="X22" i="18"/>
  <c r="X38" i="18"/>
  <c r="AD38" i="18"/>
  <c r="Q17" i="1"/>
  <c r="AD22" i="18"/>
  <c r="P17" i="1"/>
  <c r="AE17"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D42" i="1" l="1"/>
  <c r="AF42" i="1" s="1"/>
  <c r="AE43" i="1"/>
  <c r="AD36" i="1"/>
  <c r="AF36" i="1" s="1"/>
  <c r="AE37" i="1"/>
  <c r="AD37" i="1" s="1"/>
  <c r="AF37" i="1" s="1"/>
  <c r="AE24" i="1"/>
  <c r="AD24" i="1" s="1"/>
  <c r="AF24" i="1" s="1"/>
  <c r="AD29" i="1"/>
  <c r="AF29" i="1" s="1"/>
  <c r="AE30" i="1"/>
  <c r="AD59" i="1"/>
  <c r="AF59" i="1" s="1"/>
  <c r="AE60" i="1"/>
  <c r="AD60" i="1" s="1"/>
  <c r="AF60" i="1" s="1"/>
  <c r="AD47" i="1"/>
  <c r="AF47" i="1" s="1"/>
  <c r="AE48" i="1"/>
  <c r="AE72" i="1"/>
  <c r="AD71" i="1"/>
  <c r="AF71" i="1" s="1"/>
  <c r="AD17" i="1"/>
  <c r="V7" i="19" s="1"/>
  <c r="AE18" i="1"/>
  <c r="V22" i="19"/>
  <c r="J52" i="19"/>
  <c r="P52" i="19"/>
  <c r="AH42" i="19"/>
  <c r="P32" i="19"/>
  <c r="AH22" i="19"/>
  <c r="J12" i="19"/>
  <c r="AH38" i="19"/>
  <c r="AD11" i="1"/>
  <c r="P16" i="19" s="1"/>
  <c r="AE12" i="1"/>
  <c r="AD12" i="1" s="1"/>
  <c r="AD43" i="1" l="1"/>
  <c r="AF43" i="1" s="1"/>
  <c r="AE44" i="1"/>
  <c r="AD44" i="1" s="1"/>
  <c r="AF44" i="1" s="1"/>
  <c r="AD18" i="1"/>
  <c r="Q47" i="19" s="1"/>
  <c r="AE19" i="1"/>
  <c r="AD19" i="1" s="1"/>
  <c r="AD72" i="1"/>
  <c r="AF72" i="1" s="1"/>
  <c r="AE73" i="1"/>
  <c r="AD73" i="1" s="1"/>
  <c r="AE25" i="1"/>
  <c r="AD25" i="1" s="1"/>
  <c r="AF25" i="1" s="1"/>
  <c r="AD30" i="1"/>
  <c r="AF30" i="1" s="1"/>
  <c r="AE31" i="1"/>
  <c r="V41" i="19"/>
  <c r="AH11" i="19"/>
  <c r="V51" i="19"/>
  <c r="V31" i="19"/>
  <c r="AB41" i="19"/>
  <c r="V21" i="19"/>
  <c r="AI11" i="19"/>
  <c r="P51" i="19"/>
  <c r="J51" i="19"/>
  <c r="J31" i="19"/>
  <c r="AH51" i="19"/>
  <c r="AH31" i="19"/>
  <c r="AB31" i="19"/>
  <c r="P31" i="19"/>
  <c r="AB21" i="19"/>
  <c r="J21" i="19"/>
  <c r="P21" i="19"/>
  <c r="AB51" i="19"/>
  <c r="V11" i="19"/>
  <c r="P11" i="19"/>
  <c r="J41" i="19"/>
  <c r="AB11" i="19"/>
  <c r="J11" i="19"/>
  <c r="P41" i="19"/>
  <c r="AH21" i="19"/>
  <c r="AH41" i="19"/>
  <c r="V9" i="19"/>
  <c r="P30" i="19"/>
  <c r="V24" i="19"/>
  <c r="V14" i="19"/>
  <c r="V34" i="19"/>
  <c r="AH34" i="19"/>
  <c r="AB14" i="19"/>
  <c r="P35" i="19"/>
  <c r="J44" i="19"/>
  <c r="J14" i="19"/>
  <c r="J55" i="19"/>
  <c r="AH44" i="19"/>
  <c r="AB54" i="19"/>
  <c r="AH35" i="19"/>
  <c r="P15" i="19"/>
  <c r="V54" i="19"/>
  <c r="AH25" i="19"/>
  <c r="P34" i="19"/>
  <c r="AH14" i="19"/>
  <c r="AH54" i="19"/>
  <c r="AB45" i="19"/>
  <c r="J24" i="19"/>
  <c r="P14" i="19"/>
  <c r="J34" i="19"/>
  <c r="AD48" i="1"/>
  <c r="AF48" i="1" s="1"/>
  <c r="AE49" i="1"/>
  <c r="AD49" i="1" s="1"/>
  <c r="AF49" i="1" s="1"/>
  <c r="V25" i="19"/>
  <c r="P42" i="19"/>
  <c r="V12" i="19"/>
  <c r="J22" i="19"/>
  <c r="AH32" i="19"/>
  <c r="V42" i="19"/>
  <c r="AB12" i="19"/>
  <c r="AH12" i="19"/>
  <c r="AB22" i="19"/>
  <c r="P12" i="19"/>
  <c r="J32" i="19"/>
  <c r="AB52" i="19"/>
  <c r="P22" i="19"/>
  <c r="P55" i="19"/>
  <c r="V32" i="19"/>
  <c r="V52" i="19"/>
  <c r="AB42" i="19"/>
  <c r="AB43" i="19"/>
  <c r="J25" i="19"/>
  <c r="AH52" i="19"/>
  <c r="J42" i="19"/>
  <c r="AB32" i="19"/>
  <c r="AB34" i="19"/>
  <c r="P44" i="19"/>
  <c r="AB24" i="19"/>
  <c r="P54" i="19"/>
  <c r="AB44" i="19"/>
  <c r="V44" i="19"/>
  <c r="J54" i="19"/>
  <c r="AH24" i="19"/>
  <c r="P24" i="19"/>
  <c r="V35" i="19"/>
  <c r="AH45" i="19"/>
  <c r="V55" i="19"/>
  <c r="P45" i="19"/>
  <c r="AC24" i="19"/>
  <c r="Q24" i="19"/>
  <c r="Q44" i="19"/>
  <c r="AI34" i="19"/>
  <c r="K44" i="19"/>
  <c r="W54" i="19"/>
  <c r="Q34" i="19"/>
  <c r="AC44" i="19"/>
  <c r="Q54" i="19"/>
  <c r="AI44" i="19"/>
  <c r="AI54" i="19"/>
  <c r="W14" i="19"/>
  <c r="K54" i="19"/>
  <c r="AI24" i="19"/>
  <c r="AI14" i="19"/>
  <c r="AC14" i="19"/>
  <c r="AB25" i="19"/>
  <c r="J35" i="19"/>
  <c r="J15" i="19"/>
  <c r="AB55" i="19"/>
  <c r="V15" i="19"/>
  <c r="V45" i="19"/>
  <c r="K24" i="19"/>
  <c r="K14" i="19"/>
  <c r="Q14" i="19"/>
  <c r="P25" i="19"/>
  <c r="AH15" i="19"/>
  <c r="AB15" i="19"/>
  <c r="AC54" i="19"/>
  <c r="K34" i="19"/>
  <c r="W24" i="19"/>
  <c r="J45" i="19"/>
  <c r="AB35" i="19"/>
  <c r="AH55" i="19"/>
  <c r="W34" i="19"/>
  <c r="AC34" i="19"/>
  <c r="W44" i="19"/>
  <c r="V17" i="19"/>
  <c r="P37" i="19"/>
  <c r="V29" i="19"/>
  <c r="V49" i="19"/>
  <c r="J7" i="19"/>
  <c r="AH17" i="19"/>
  <c r="AH37" i="19"/>
  <c r="J37" i="19"/>
  <c r="V37" i="19"/>
  <c r="AB47" i="19"/>
  <c r="AH7" i="19"/>
  <c r="P17" i="19"/>
  <c r="AB37" i="19"/>
  <c r="P27" i="19"/>
  <c r="V27" i="19"/>
  <c r="AB27" i="19"/>
  <c r="AF17" i="1"/>
  <c r="AH27" i="19"/>
  <c r="AH29" i="19"/>
  <c r="J27" i="19"/>
  <c r="V47" i="19"/>
  <c r="P47" i="19"/>
  <c r="P39" i="19"/>
  <c r="AB29" i="19"/>
  <c r="AH47" i="19"/>
  <c r="AB7" i="19"/>
  <c r="J47" i="19"/>
  <c r="AB9" i="19"/>
  <c r="J19" i="19"/>
  <c r="AH19" i="19"/>
  <c r="AB17" i="19"/>
  <c r="P9" i="19"/>
  <c r="AH49" i="19"/>
  <c r="P7" i="19"/>
  <c r="J17" i="19"/>
  <c r="AH39" i="19"/>
  <c r="J29" i="19"/>
  <c r="V39" i="19"/>
  <c r="AB39" i="19"/>
  <c r="P19" i="19"/>
  <c r="V19" i="19"/>
  <c r="AB49" i="19"/>
  <c r="J49" i="19"/>
  <c r="P29" i="19"/>
  <c r="J39" i="19"/>
  <c r="AH9" i="19"/>
  <c r="J9" i="19"/>
  <c r="AB19" i="19"/>
  <c r="P49" i="19"/>
  <c r="P53" i="19"/>
  <c r="AH33" i="19"/>
  <c r="AH43" i="19"/>
  <c r="P33" i="19"/>
  <c r="V43" i="19"/>
  <c r="AB53" i="19"/>
  <c r="J43" i="19"/>
  <c r="V13" i="19"/>
  <c r="J13" i="19"/>
  <c r="P23" i="19"/>
  <c r="V53" i="19"/>
  <c r="V23" i="19"/>
  <c r="V33" i="19"/>
  <c r="AH23" i="19"/>
  <c r="AB23" i="19"/>
  <c r="J53" i="19"/>
  <c r="J23" i="19"/>
  <c r="P13" i="19"/>
  <c r="P43" i="19"/>
  <c r="J33" i="19"/>
  <c r="AB33" i="19"/>
  <c r="AH13" i="19"/>
  <c r="AB13" i="19"/>
  <c r="AH53" i="19"/>
  <c r="P10" i="19"/>
  <c r="AB10" i="19"/>
  <c r="AH10" i="19"/>
  <c r="AB50" i="19"/>
  <c r="P50" i="19"/>
  <c r="AH50" i="19"/>
  <c r="V20" i="19"/>
  <c r="AH40" i="19"/>
  <c r="AH20" i="19"/>
  <c r="V40" i="19"/>
  <c r="V50" i="19"/>
  <c r="AB30" i="19"/>
  <c r="J40" i="19"/>
  <c r="J30" i="19"/>
  <c r="AB20" i="19"/>
  <c r="P40" i="19"/>
  <c r="J50" i="19"/>
  <c r="AB40" i="19"/>
  <c r="P20" i="19"/>
  <c r="AH30" i="19"/>
  <c r="V10" i="19"/>
  <c r="V30" i="19"/>
  <c r="J20" i="19"/>
  <c r="J10" i="19"/>
  <c r="AB38" i="19"/>
  <c r="J48" i="19"/>
  <c r="V18" i="19"/>
  <c r="AH18" i="19"/>
  <c r="V8" i="19"/>
  <c r="V38" i="19"/>
  <c r="V28" i="19"/>
  <c r="J28" i="19"/>
  <c r="P28" i="19"/>
  <c r="J38" i="19"/>
  <c r="P8" i="19"/>
  <c r="AH48" i="19"/>
  <c r="AH8" i="19"/>
  <c r="J8" i="19"/>
  <c r="V48" i="19"/>
  <c r="AB48" i="19"/>
  <c r="J18" i="19"/>
  <c r="P48" i="19"/>
  <c r="AB28" i="19"/>
  <c r="AH28" i="19"/>
  <c r="AB18" i="19"/>
  <c r="P38" i="19"/>
  <c r="P18" i="19"/>
  <c r="AB8" i="19"/>
  <c r="AC8" i="19"/>
  <c r="V36" i="19"/>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 r="W27" i="19" l="1"/>
  <c r="AD31" i="1"/>
  <c r="AF31" i="1" s="1"/>
  <c r="AE32" i="1"/>
  <c r="AD32" i="1" s="1"/>
  <c r="AC7" i="19"/>
  <c r="AF18" i="1"/>
  <c r="AI17" i="19"/>
  <c r="K7" i="19"/>
  <c r="K37" i="19"/>
  <c r="W7" i="19"/>
  <c r="AI27" i="19"/>
  <c r="Q7" i="19"/>
  <c r="AI47" i="19"/>
  <c r="W47" i="19"/>
  <c r="K17" i="19"/>
  <c r="AC37" i="19"/>
  <c r="Q27" i="19"/>
  <c r="AC27" i="19"/>
  <c r="AC17" i="19"/>
  <c r="Q37" i="19"/>
  <c r="Q17" i="19"/>
  <c r="K47" i="19"/>
  <c r="AC47" i="19"/>
  <c r="W17" i="19"/>
  <c r="W37" i="19"/>
  <c r="AI37" i="19"/>
  <c r="AI7" i="19"/>
  <c r="K27" i="19"/>
  <c r="AC19" i="19"/>
  <c r="AD17" i="19"/>
  <c r="R27" i="19"/>
  <c r="X37" i="19"/>
  <c r="L17" i="19"/>
  <c r="L37" i="19"/>
  <c r="X27" i="19"/>
  <c r="AF19" i="1"/>
  <c r="AD47" i="19"/>
  <c r="R17" i="19"/>
  <c r="R7" i="19"/>
  <c r="R47" i="19"/>
  <c r="AD7" i="19"/>
  <c r="AJ27" i="19"/>
  <c r="AJ17" i="19"/>
  <c r="X17" i="19"/>
  <c r="AD37" i="19"/>
  <c r="AD27" i="19"/>
  <c r="X7" i="19"/>
  <c r="AJ47" i="19"/>
  <c r="AJ7" i="19"/>
  <c r="X47" i="19"/>
  <c r="L47" i="19"/>
  <c r="AJ37" i="19"/>
  <c r="L7" i="19"/>
  <c r="R37" i="19"/>
  <c r="L27" i="19"/>
  <c r="W35" i="19"/>
  <c r="W55" i="19"/>
  <c r="AI39" i="19"/>
  <c r="K19" i="19"/>
  <c r="AC35" i="19"/>
  <c r="W49" i="19"/>
  <c r="AI9" i="19"/>
  <c r="K9" i="19"/>
  <c r="AI49" i="19"/>
  <c r="AC49" i="19"/>
  <c r="K29" i="19"/>
  <c r="AI29" i="19"/>
  <c r="Q29" i="19"/>
  <c r="AC39" i="19"/>
  <c r="Q49" i="19"/>
  <c r="K39" i="19"/>
  <c r="W19" i="19"/>
  <c r="W39" i="19"/>
  <c r="Q9" i="19"/>
  <c r="AC9" i="19"/>
  <c r="AC29" i="19"/>
  <c r="Q39" i="19"/>
  <c r="W9" i="19"/>
  <c r="AI19" i="19"/>
  <c r="Q19" i="19"/>
  <c r="K49" i="19"/>
  <c r="W29" i="19"/>
  <c r="AI25" i="19"/>
  <c r="AI15" i="19"/>
  <c r="Q45" i="19"/>
  <c r="Q25" i="19"/>
  <c r="W25" i="19"/>
  <c r="W15" i="19"/>
  <c r="AC55" i="19"/>
  <c r="AI35" i="19"/>
  <c r="Q15" i="19"/>
  <c r="Q55" i="19"/>
  <c r="K55" i="19"/>
  <c r="W45" i="19"/>
  <c r="AI55" i="19"/>
  <c r="Q35" i="19"/>
  <c r="K45" i="19"/>
  <c r="K35" i="19"/>
  <c r="AC25" i="19"/>
  <c r="AI45" i="19"/>
  <c r="K15" i="19"/>
  <c r="AC15" i="19"/>
  <c r="K25" i="19"/>
  <c r="AC45" i="19"/>
  <c r="AF73" i="1"/>
  <c r="AD55" i="19"/>
  <c r="R55" i="19"/>
  <c r="AD25" i="19"/>
  <c r="L55" i="19"/>
  <c r="X25" i="19"/>
  <c r="X45" i="19"/>
  <c r="R35" i="19"/>
  <c r="L15" i="19"/>
  <c r="L45" i="19"/>
  <c r="AD35" i="19"/>
  <c r="AD45" i="19"/>
  <c r="X15" i="19"/>
  <c r="AJ45" i="19"/>
  <c r="R15" i="19"/>
  <c r="X55" i="19"/>
  <c r="X35" i="19"/>
  <c r="AD15" i="19"/>
  <c r="L35" i="19"/>
  <c r="AJ15" i="19"/>
  <c r="AJ25" i="19"/>
  <c r="AJ55" i="19"/>
  <c r="R25" i="19"/>
  <c r="R45" i="19"/>
  <c r="L25" i="19"/>
  <c r="AJ35" i="19"/>
  <c r="AE26" i="1"/>
  <c r="AD26" i="1" s="1"/>
  <c r="W51" i="19"/>
  <c r="Q41" i="19"/>
  <c r="Q11" i="19"/>
  <c r="AC41" i="19"/>
  <c r="Q31" i="19"/>
  <c r="AI21" i="19"/>
  <c r="Q21" i="19"/>
  <c r="W21" i="19"/>
  <c r="AI41" i="19"/>
  <c r="AI51" i="19"/>
  <c r="AC21" i="19"/>
  <c r="W31" i="19"/>
  <c r="K41" i="19"/>
  <c r="Q51" i="19"/>
  <c r="AC51" i="19"/>
  <c r="K11" i="19"/>
  <c r="K21" i="19"/>
  <c r="W41" i="19"/>
  <c r="AC11" i="19"/>
  <c r="W11" i="19"/>
  <c r="AC31" i="19"/>
  <c r="K31" i="19"/>
  <c r="K51" i="19"/>
  <c r="AD11" i="19"/>
  <c r="L31" i="19"/>
  <c r="AD21" i="19"/>
  <c r="AJ11" i="19"/>
  <c r="AJ21" i="19"/>
  <c r="L21" i="19"/>
  <c r="R51" i="19"/>
  <c r="L51" i="19"/>
  <c r="AD41" i="19"/>
  <c r="AJ41" i="19"/>
  <c r="AD31" i="19"/>
  <c r="L11" i="19"/>
  <c r="X31" i="19"/>
  <c r="X21" i="19"/>
  <c r="R11" i="19"/>
  <c r="R21" i="19"/>
  <c r="X51" i="19"/>
  <c r="X11" i="19"/>
  <c r="X41" i="19"/>
  <c r="AJ31" i="19"/>
  <c r="AJ51" i="19"/>
  <c r="R31" i="19"/>
  <c r="AD51" i="19"/>
  <c r="L41" i="19"/>
  <c r="R41" i="19"/>
  <c r="AI31" i="19"/>
  <c r="AC20" i="19"/>
  <c r="W33" i="19"/>
  <c r="X12" i="19"/>
  <c r="X22" i="19"/>
  <c r="AD52" i="19"/>
  <c r="AD32" i="19"/>
  <c r="R12" i="19"/>
  <c r="AJ22" i="19"/>
  <c r="L42" i="19"/>
  <c r="AD22" i="19"/>
  <c r="AJ52" i="19"/>
  <c r="AD42" i="19"/>
  <c r="L22" i="19"/>
  <c r="R42" i="19"/>
  <c r="L12" i="19"/>
  <c r="AJ32" i="19"/>
  <c r="X42" i="19"/>
  <c r="R22" i="19"/>
  <c r="L32" i="19"/>
  <c r="AJ12" i="19"/>
  <c r="AD12" i="19"/>
  <c r="X32" i="19"/>
  <c r="R52" i="19"/>
  <c r="L52" i="19"/>
  <c r="R32" i="19"/>
  <c r="X52" i="19"/>
  <c r="AJ42" i="19"/>
  <c r="W42" i="19"/>
  <c r="K12" i="19"/>
  <c r="AC12" i="19"/>
  <c r="K52" i="19"/>
  <c r="AI52" i="19"/>
  <c r="Q22" i="19"/>
  <c r="Q12" i="19"/>
  <c r="Q42" i="19"/>
  <c r="K22" i="19"/>
  <c r="W52" i="19"/>
  <c r="Q52" i="19"/>
  <c r="W12" i="19"/>
  <c r="Q32" i="19"/>
  <c r="AI42" i="19"/>
  <c r="K32" i="19"/>
  <c r="AC52" i="19"/>
  <c r="AC22" i="19"/>
  <c r="AI12" i="19"/>
  <c r="W32" i="19"/>
  <c r="W22" i="19"/>
  <c r="AI22" i="19"/>
  <c r="K42" i="19"/>
  <c r="AC32" i="19"/>
  <c r="AC42" i="19"/>
  <c r="AI32" i="19"/>
  <c r="AD39" i="19"/>
  <c r="AJ49" i="19"/>
  <c r="L19" i="19"/>
  <c r="R19" i="19"/>
  <c r="R9" i="19"/>
  <c r="X49" i="19"/>
  <c r="X19" i="19"/>
  <c r="AJ39" i="19"/>
  <c r="AJ9" i="19"/>
  <c r="X29" i="19"/>
  <c r="X39" i="19"/>
  <c r="X9" i="19"/>
  <c r="AD9" i="19"/>
  <c r="AD49" i="19"/>
  <c r="AD29" i="19"/>
  <c r="AJ19" i="19"/>
  <c r="AC43" i="19"/>
  <c r="AC53" i="19"/>
  <c r="K23" i="19"/>
  <c r="W53" i="19"/>
  <c r="K43" i="19"/>
  <c r="Q23" i="19"/>
  <c r="AI13" i="19"/>
  <c r="AI23" i="19"/>
  <c r="K13" i="19"/>
  <c r="AI33" i="19"/>
  <c r="W13" i="19"/>
  <c r="AC23" i="19"/>
  <c r="AC13" i="19"/>
  <c r="K33" i="19"/>
  <c r="Q13" i="19"/>
  <c r="Q53" i="19"/>
  <c r="AI43" i="19"/>
  <c r="Q43" i="19"/>
  <c r="W43" i="19"/>
  <c r="Q33" i="19"/>
  <c r="K53" i="19"/>
  <c r="AC33" i="19"/>
  <c r="AI53" i="19"/>
  <c r="W23" i="19"/>
  <c r="AJ53" i="19"/>
  <c r="AD23" i="19"/>
  <c r="X23" i="19"/>
  <c r="L33" i="19"/>
  <c r="AJ33" i="19"/>
  <c r="AJ43" i="19"/>
  <c r="R33" i="19"/>
  <c r="L23" i="19"/>
  <c r="AJ23" i="19"/>
  <c r="AD33" i="19"/>
  <c r="R43" i="19"/>
  <c r="X43" i="19"/>
  <c r="R53" i="19"/>
  <c r="X33" i="19"/>
  <c r="AD53" i="19"/>
  <c r="X53" i="19"/>
  <c r="X13" i="19"/>
  <c r="AJ13" i="19"/>
  <c r="AD13" i="19"/>
  <c r="AD43" i="19"/>
  <c r="R23" i="19"/>
  <c r="L53" i="19"/>
  <c r="L43" i="19"/>
  <c r="R13" i="19"/>
  <c r="L13" i="19"/>
  <c r="AC10" i="19"/>
  <c r="AC50" i="19"/>
  <c r="AI10" i="19"/>
  <c r="K30" i="19"/>
  <c r="Q20" i="19"/>
  <c r="K50" i="19"/>
  <c r="AC30" i="19"/>
  <c r="AI30" i="19"/>
  <c r="W40" i="19"/>
  <c r="Q30" i="19"/>
  <c r="Q50" i="19"/>
  <c r="W10" i="19"/>
  <c r="K10" i="19"/>
  <c r="AC40" i="19"/>
  <c r="W50" i="19"/>
  <c r="Q40" i="19"/>
  <c r="AI20" i="19"/>
  <c r="Q10" i="19"/>
  <c r="W30" i="19"/>
  <c r="K40" i="19"/>
  <c r="K20" i="19"/>
  <c r="AI40" i="19"/>
  <c r="AI50" i="19"/>
  <c r="W20" i="19"/>
  <c r="W38" i="19"/>
  <c r="K18" i="19"/>
  <c r="K38" i="19"/>
  <c r="AI18" i="19"/>
  <c r="K8" i="19"/>
  <c r="AI28" i="19"/>
  <c r="Q18" i="19"/>
  <c r="AC28" i="19"/>
  <c r="W48" i="19"/>
  <c r="Q38" i="19"/>
  <c r="AC48" i="19"/>
  <c r="Q28" i="19"/>
  <c r="Q8" i="19"/>
  <c r="AI48" i="19"/>
  <c r="AI38" i="19"/>
  <c r="AC38" i="19"/>
  <c r="W8" i="19"/>
  <c r="W28" i="19"/>
  <c r="Q48" i="19"/>
  <c r="K28" i="19"/>
  <c r="K48" i="19"/>
  <c r="AI8" i="19"/>
  <c r="W18" i="19"/>
  <c r="AC18" i="19"/>
  <c r="R18" i="19"/>
  <c r="X28" i="19"/>
  <c r="AJ18" i="19"/>
  <c r="L38" i="19"/>
  <c r="R8" i="19"/>
  <c r="R38" i="19"/>
  <c r="X8" i="19"/>
  <c r="X38" i="19"/>
  <c r="AD28" i="19"/>
  <c r="R48" i="19"/>
  <c r="AJ28" i="19"/>
  <c r="AJ8" i="19"/>
  <c r="L28" i="19"/>
  <c r="L8" i="19"/>
  <c r="X18" i="19"/>
  <c r="AD18" i="19"/>
  <c r="AD38" i="19"/>
  <c r="X48" i="19"/>
  <c r="AJ38" i="19"/>
  <c r="R28" i="19"/>
  <c r="L48" i="19"/>
  <c r="AD8" i="19"/>
  <c r="L18" i="19"/>
  <c r="AJ48" i="19"/>
  <c r="AD48" i="19"/>
  <c r="AJ29" i="19" l="1"/>
  <c r="L29" i="19"/>
  <c r="L49" i="19"/>
  <c r="R39" i="19"/>
  <c r="L39" i="19"/>
  <c r="R29" i="19"/>
  <c r="L9" i="19"/>
  <c r="AD19" i="19"/>
  <c r="R49" i="19"/>
  <c r="AF32" i="1"/>
  <c r="AE19" i="19"/>
  <c r="AK29" i="19"/>
  <c r="Y19" i="19"/>
  <c r="S49" i="19"/>
  <c r="AK39" i="19"/>
  <c r="S29" i="19"/>
  <c r="S19" i="19"/>
  <c r="S9" i="19"/>
  <c r="Y9" i="19"/>
  <c r="AE29" i="19"/>
  <c r="M29" i="19"/>
  <c r="Y49" i="19"/>
  <c r="AE39" i="19"/>
  <c r="M9" i="19"/>
  <c r="Y39" i="19"/>
  <c r="M39" i="19"/>
  <c r="M49" i="19"/>
  <c r="AK9" i="19"/>
  <c r="AK19" i="19"/>
  <c r="M19" i="19"/>
  <c r="AE9" i="19"/>
  <c r="AE49" i="19"/>
  <c r="S39" i="19"/>
  <c r="Y29" i="19"/>
  <c r="AK49" i="19"/>
  <c r="AE27" i="1"/>
  <c r="AD27" i="1" s="1"/>
  <c r="AF26" i="1"/>
  <c r="M38" i="19"/>
  <c r="Y8" i="19"/>
  <c r="AK8" i="19"/>
  <c r="M18" i="19"/>
  <c r="AE8" i="19"/>
  <c r="M8" i="19"/>
  <c r="AE18" i="19"/>
  <c r="M28" i="19"/>
  <c r="Y38" i="19"/>
  <c r="AK18" i="19"/>
  <c r="AE38" i="19"/>
  <c r="AK48" i="19"/>
  <c r="AK38" i="19"/>
  <c r="S8" i="19"/>
  <c r="S18" i="19"/>
  <c r="Y48" i="19"/>
  <c r="Y18" i="19"/>
  <c r="M48" i="19"/>
  <c r="AK28" i="19"/>
  <c r="Y28" i="19"/>
  <c r="AE28" i="19"/>
  <c r="S48" i="19"/>
  <c r="S28" i="19"/>
  <c r="S38" i="19"/>
  <c r="AE48" i="19"/>
  <c r="AE20" i="19"/>
  <c r="L40" i="19"/>
  <c r="R40" i="19"/>
  <c r="AD10" i="19"/>
  <c r="R50" i="19"/>
  <c r="X40" i="19"/>
  <c r="R10" i="19"/>
  <c r="R20" i="19"/>
  <c r="AJ20" i="19"/>
  <c r="AD50" i="19"/>
  <c r="X30" i="19"/>
  <c r="R30" i="19"/>
  <c r="AJ10" i="19"/>
  <c r="AD20" i="19"/>
  <c r="L20" i="19"/>
  <c r="X20" i="19"/>
  <c r="X50" i="19"/>
  <c r="AJ50" i="19"/>
  <c r="L50" i="19"/>
  <c r="L30" i="19"/>
  <c r="AJ30" i="19"/>
  <c r="AJ40" i="19"/>
  <c r="X10" i="19"/>
  <c r="AD30" i="19"/>
  <c r="L10" i="19"/>
  <c r="AD40" i="19"/>
  <c r="AE28" i="1" l="1"/>
  <c r="AD28" i="1" s="1"/>
  <c r="AF28" i="1" s="1"/>
  <c r="AF27" i="1"/>
  <c r="N48" i="19"/>
  <c r="Z48" i="19"/>
  <c r="Z8" i="19"/>
  <c r="N38" i="19"/>
  <c r="N28" i="19"/>
  <c r="AL18" i="19"/>
  <c r="N8" i="19"/>
  <c r="AL48" i="19"/>
  <c r="T48" i="19"/>
  <c r="AF38" i="19"/>
  <c r="AF28" i="19"/>
  <c r="AF18" i="19"/>
  <c r="AL8" i="19"/>
  <c r="T28" i="19"/>
  <c r="AL28" i="19"/>
  <c r="T8" i="19"/>
  <c r="T38" i="19"/>
  <c r="AF8" i="19"/>
  <c r="N18" i="19"/>
  <c r="Z28" i="19"/>
  <c r="AL38" i="19"/>
  <c r="Z38" i="19"/>
  <c r="Z18" i="19"/>
  <c r="AF48" i="19"/>
  <c r="T18" i="19"/>
  <c r="Y20" i="19"/>
  <c r="AE10" i="19"/>
  <c r="S10" i="19"/>
  <c r="M10" i="19"/>
  <c r="AE30" i="19"/>
  <c r="AK20" i="19"/>
  <c r="M30" i="19"/>
  <c r="Y30" i="19"/>
  <c r="S30" i="19"/>
  <c r="AE50" i="19"/>
  <c r="S20" i="19"/>
  <c r="Y40" i="19"/>
  <c r="AK30" i="19"/>
  <c r="AE40" i="19"/>
  <c r="AK40" i="19"/>
  <c r="AK50" i="19"/>
  <c r="Y50" i="19"/>
  <c r="Y10" i="19"/>
  <c r="S40" i="19"/>
  <c r="M40" i="19"/>
  <c r="M50" i="19"/>
  <c r="M20" i="19"/>
  <c r="S50" i="19"/>
  <c r="AK10" i="19"/>
  <c r="AM8" i="19" l="1"/>
  <c r="AG48" i="19"/>
  <c r="AG38" i="19"/>
  <c r="U28" i="19"/>
  <c r="AA18" i="19"/>
  <c r="U48" i="19"/>
  <c r="AG28" i="19"/>
  <c r="O28" i="19"/>
  <c r="O8" i="19"/>
  <c r="AA48" i="19"/>
  <c r="AM48" i="19"/>
  <c r="U38" i="19"/>
  <c r="AM28" i="19"/>
  <c r="AM18" i="19"/>
  <c r="O38" i="19"/>
  <c r="AA38" i="19"/>
  <c r="AG18" i="19"/>
  <c r="AA8" i="19"/>
  <c r="AA28" i="19"/>
  <c r="O18" i="19"/>
  <c r="U8" i="19"/>
  <c r="AM38" i="19"/>
  <c r="O48" i="19"/>
  <c r="AG8" i="19"/>
  <c r="U18" i="19"/>
  <c r="O30" i="19"/>
  <c r="AA10" i="19"/>
  <c r="AG10" i="19"/>
  <c r="O50" i="19"/>
  <c r="AA30" i="19"/>
  <c r="AM50" i="19"/>
  <c r="U40" i="19"/>
  <c r="AA40" i="19"/>
  <c r="AA20" i="19"/>
  <c r="AM10" i="19"/>
  <c r="U10" i="19"/>
  <c r="AG50" i="19"/>
  <c r="U50" i="19"/>
  <c r="AM40" i="19"/>
  <c r="AA50" i="19"/>
  <c r="O40" i="19"/>
  <c r="AG20" i="19"/>
  <c r="U20" i="19"/>
  <c r="AG40" i="19"/>
  <c r="AG30" i="19"/>
  <c r="O20" i="19"/>
  <c r="O10" i="19"/>
  <c r="U30" i="19"/>
  <c r="AM30" i="19"/>
  <c r="AM20" i="19"/>
  <c r="T50" i="19"/>
  <c r="Z10" i="19"/>
  <c r="AL10" i="19"/>
  <c r="AF10" i="19"/>
  <c r="AL50" i="19"/>
  <c r="AL40" i="19"/>
  <c r="Z30" i="19"/>
  <c r="Z40" i="19"/>
  <c r="AL30" i="19"/>
  <c r="AF20" i="19"/>
  <c r="N20" i="19"/>
  <c r="AF40" i="19"/>
  <c r="AF30" i="19"/>
  <c r="N50" i="19"/>
  <c r="Z20" i="19"/>
  <c r="AF50" i="19"/>
  <c r="T10" i="19"/>
  <c r="T40" i="19"/>
  <c r="N10" i="19"/>
  <c r="Z50" i="19"/>
  <c r="T20" i="19"/>
  <c r="N30" i="19"/>
  <c r="N40" i="19"/>
  <c r="T30" i="19"/>
  <c r="AL20" i="19"/>
</calcChain>
</file>

<file path=xl/comments1.xml><?xml version="1.0" encoding="utf-8"?>
<comments xmlns="http://schemas.openxmlformats.org/spreadsheetml/2006/main">
  <authors>
    <author>Ing. Andru</author>
    <author>User</author>
  </authors>
  <commentList>
    <comment ref="D6" authorId="0" shapeId="0">
      <text>
        <r>
          <rPr>
            <b/>
            <sz val="9"/>
            <color indexed="81"/>
            <rFont val="Tahoma"/>
            <family val="2"/>
          </rPr>
          <t>Traer la Información de la caracterización del proceso.</t>
        </r>
      </text>
    </comment>
    <comment ref="D7" authorId="0" shapeId="0">
      <text>
        <r>
          <rPr>
            <b/>
            <sz val="9"/>
            <color indexed="81"/>
            <rFont val="Tahoma"/>
            <family val="2"/>
          </rPr>
          <t>Traer la Información de la caracterización del proceso.</t>
        </r>
        <r>
          <rPr>
            <sz val="9"/>
            <color indexed="81"/>
            <rFont val="Tahoma"/>
            <family val="2"/>
          </rPr>
          <t xml:space="preserve">
</t>
        </r>
      </text>
    </comment>
    <comment ref="A9" authorId="0" shapeId="0">
      <text>
        <r>
          <rPr>
            <b/>
            <sz val="9"/>
            <color indexed="81"/>
            <rFont val="Tahoma"/>
            <family val="2"/>
          </rPr>
          <t>Número consecutivo de los riesgos que se identifican.</t>
        </r>
        <r>
          <rPr>
            <sz val="9"/>
            <color indexed="81"/>
            <rFont val="Tahoma"/>
            <family val="2"/>
          </rPr>
          <t xml:space="preserve">
</t>
        </r>
      </text>
    </comment>
    <comment ref="B9" authorId="0" shapeId="0">
      <text>
        <r>
          <rPr>
            <b/>
            <sz val="9"/>
            <color indexed="81"/>
            <rFont val="Tahoma"/>
            <family val="2"/>
          </rPr>
          <t>Consulte su matriz de activos de información.</t>
        </r>
      </text>
    </comment>
    <comment ref="C9" authorId="1" shapeId="0">
      <text>
        <r>
          <rPr>
            <b/>
            <sz val="9"/>
            <color indexed="81"/>
            <rFont val="Tahoma"/>
            <family val="2"/>
          </rPr>
          <t>Consulte su matriz de activos de información.</t>
        </r>
      </text>
    </comment>
    <comment ref="E9" authorId="0" shapeId="0">
      <text>
        <r>
          <rPr>
            <b/>
            <sz val="9"/>
            <color indexed="81"/>
            <rFont val="Tahoma"/>
            <family val="2"/>
          </rPr>
          <t>En el manual de gestión de riesgos de seguridad de la información, encontrará sugerencias de AMENAZAS que puede usar o ajustar según se requiera.</t>
        </r>
      </text>
    </comment>
    <comment ref="F9" authorId="0" shapeId="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<sst xmlns="http://schemas.openxmlformats.org/spreadsheetml/2006/main" count="697" uniqueCount="352">
  <si>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</si>
  <si>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</si>
  <si>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</si>
  <si>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</si>
  <si>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</si>
  <si>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</si>
  <si>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</si>
  <si>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</si>
  <si>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</si>
  <si>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</si>
  <si>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</si>
  <si>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</si>
  <si>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</si>
  <si>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</si>
  <si>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</si>
  <si>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</si>
  <si>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</si>
  <si>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</si>
  <si>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</si>
  <si>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</si>
  <si>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</si>
  <si>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</si>
  <si>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</si>
  <si>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</si>
  <si>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</si>
  <si>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</si>
  <si>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</si>
  <si>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</si>
  <si>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</si>
  <si>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</si>
  <si>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</si>
  <si>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</si>
  <si>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</si>
  <si>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</si>
  <si>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</si>
  <si>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</si>
  <si>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</si>
  <si>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</si>
  <si>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</si>
  <si>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</si>
  <si>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</si>
  <si>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</si>
  <si>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</si>
  <si>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</si>
  <si>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</si>
  <si>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</si>
  <si>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</si>
  <si>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</si>
  <si>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</si>
  <si>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</si>
  <si>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</si>
  <si>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</si>
  <si>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</si>
  <si>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</si>
  <si>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</si>
  <si>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</si>
  <si>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</si>
  <si>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</si>
  <si>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</si>
  <si>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</si>
  <si>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</si>
  <si>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</si>
  <si>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</si>
  <si>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</si>
  <si>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</si>
  <si>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</si>
  <si>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</si>
  <si>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</si>
  <si>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</si>
  <si>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</si>
  <si>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</si>
  <si>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</si>
  <si>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</si>
  <si>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</si>
  <si>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</si>
  <si>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</si>
  <si>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</si>
  <si>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</si>
  <si>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</si>
  <si>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</si>
  <si>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</si>
  <si>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</si>
  <si>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</si>
  <si>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</si>
  <si>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</si>
  <si>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</si>
  <si>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</si>
  <si>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</si>
  <si>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</si>
  <si>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</si>
  <si>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</si>
  <si>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</si>
  <si>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</si>
  <si>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</si>
  <si>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</si>
  <si>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</si>
  <si>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</si>
  <si>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</si>
  <si>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</si>
  <si>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</si>
  <si>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</si>
  <si>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</si>
  <si>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</si>
  <si>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</si>
  <si>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</si>
  <si>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</si>
  <si>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</si>
  <si>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</si>
  <si>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</si>
  <si>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</si>
  <si>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</si>
  <si>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</si>
  <si>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</si>
  <si>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</si>
  <si>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</si>
  <si>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</si>
  <si>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</si>
  <si>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</si>
  <si>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</si>
  <si>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</si>
  <si>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</si>
  <si>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</si>
  <si>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</si>
  <si>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</si>
  <si>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</si>
  <si>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</si>
  <si>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</si>
  <si>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</si>
  <si>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</si>
  <si>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</si>
  <si>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</si>
  <si>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</si>
  <si>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</si>
  <si>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</si>
  <si>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</si>
  <si>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</si>
  <si>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</si>
  <si>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</si>
  <si>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</si>
  <si>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</si>
  <si>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</si>
  <si>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</si>
  <si>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</si>
  <si>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</si>
  <si>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</si>
  <si>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</si>
  <si>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</si>
  <si>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</si>
  <si>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</si>
  <si>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</si>
  <si>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</si>
  <si>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</si>
  <si>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</si>
  <si>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</si>
  <si>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</si>
  <si>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</si>
  <si>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</si>
  <si>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</si>
  <si>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</si>
  <si>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</si>
  <si>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</si>
  <si>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</si>
  <si>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</si>
  <si>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</si>
  <si>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</si>
  <si>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</si>
  <si>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</si>
  <si>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</si>
  <si>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</si>
  <si>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</si>
  <si>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</si>
  <si>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</si>
  <si>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</si>
  <si>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</si>
  <si>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</si>
  <si>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</si>
  <si>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</si>
  <si>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</si>
  <si>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</si>
  <si>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</si>
  <si>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</si>
  <si>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</si>
  <si>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</si>
  <si>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</si>
  <si>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</si>
  <si>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</si>
  <si>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</si>
  <si>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</si>
  <si>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</si>
  <si>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</si>
  <si>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</si>
  <si>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</si>
  <si>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</si>
  <si>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</si>
  <si>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</si>
  <si>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</si>
  <si>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</si>
  <si>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</si>
  <si>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</si>
  <si>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</si>
  <si>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</si>
  <si>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</si>
  <si>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</si>
  <si>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</si>
  <si>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</si>
  <si>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</si>
  <si>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</si>
  <si>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</si>
  <si>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</si>
  <si>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</si>
  <si>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</si>
  <si>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</si>
  <si>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</si>
  <si>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</si>
  <si>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</si>
  <si>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</si>
  <si>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</si>
  <si>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</si>
  <si>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</si>
  <si>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</si>
  <si>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</si>
  <si>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</si>
  <si>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</si>
  <si>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</si>
  <si>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</si>
  <si>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</si>
  <si>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</si>
  <si>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</si>
  <si>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</si>
  <si>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</si>
  <si>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</si>
  <si>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</si>
  <si>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</si>
  <si>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</si>
  <si>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</si>
  <si>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</si>
  <si>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</si>
  <si>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</si>
  <si>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</si>
  <si>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</si>
  <si>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</si>
  <si>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</si>
  <si>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</si>
  <si>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</si>
  <si>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</si>
  <si>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</si>
  <si>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</si>
  <si>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</si>
  <si>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</si>
  <si>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</si>
  <si>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</si>
  <si>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</si>
  <si>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</si>
  <si>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</si>
  <si>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</si>
  <si>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</si>
  <si>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</si>
  <si>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</si>
  <si>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</si>
  <si>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</si>
  <si>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</si>
  <si>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</si>
  <si>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</si>
  <si>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</si>
  <si>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</si>
  <si>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</si>
  <si>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</si>
  <si>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</si>
  <si>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</si>
  <si>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</si>
  <si>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</si>
  <si>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</si>
  <si>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</si>
  <si>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</si>
  <si>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</si>
  <si>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</si>
  <si>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</si>
  <si>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</si>
  <si>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</si>
  <si>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</si>
  <si>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</si>
  <si>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</si>
  <si>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</si>
  <si>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</si>
  <si>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</si>
  <si>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</si>
  <si>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</si>
  <si>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</si>
  <si>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</si>
  <si>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</si>
  <si>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</si>
  <si>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</si>
  <si>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</si>
  <si>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</si>
  <si>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</si>
  <si>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</si>
  <si>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Promover la lectura, escritura y oralidad en Bogotá a través de la definición y seguimiento a la implementación de estrategias de circulación,  onocimiento, valoración social de la lectura, territorialización, participación y cultura digital para atender las necesidades de las comunidades y desarrollar propuestas para el ejercicio de sus derechos culturales y el acceso a la información y al conocimiento.</t>
  </si>
  <si>
    <t>Inicia con la elaboración del plan de acción de la Dirección de Lectura y Bibliotecas y finaliza con la determinación e implementación de acciones correctivas, preventivas y/o de mejora de las actividades propuestas.</t>
  </si>
  <si>
    <t>Modificación o eliminación de información por acceso indebido de personas no autorizadas</t>
  </si>
  <si>
    <t>El sistema Orfeo se encuentra fuera de servicio</t>
  </si>
  <si>
    <t xml:space="preserve">Falta de aplicación de roles para el acceso de información </t>
  </si>
  <si>
    <t>Actas en PDF</t>
  </si>
  <si>
    <t>Roles de usuario establecidos para el nivel de acceso a la información</t>
  </si>
  <si>
    <t xml:space="preserve">Posibilidad de perdida de integridad ocasionada por acceso indebido de personas no autorizadas
</t>
  </si>
  <si>
    <t xml:space="preserve">Posibilidad de perdida de integridad ocasionada por acceso indebido de personas no autorizadas </t>
  </si>
  <si>
    <t>Bases de datos</t>
  </si>
  <si>
    <t>Portales, intranet y micrositios</t>
  </si>
  <si>
    <t>Redes sociales</t>
  </si>
  <si>
    <t>Las cuentas de las redes sociales no son accesibles por sustracción de claves</t>
  </si>
  <si>
    <t>Acceso denegado a las cuentas de redes sociales por deficiencia de administracion de las claves de redes sociales</t>
  </si>
  <si>
    <t>Para nuevos contenidos se ajustan los permisos de acuerdo a los roles ya establecidos en la plataforma</t>
  </si>
  <si>
    <t>El sistema Alfresco se encuentra fuera de servicio</t>
  </si>
  <si>
    <t>Fallo de la infraestructura tecnológica en el datacenter de BibloRed</t>
  </si>
  <si>
    <t>Indisponibilidad de los aplicativos o sistemas de Información</t>
  </si>
  <si>
    <t>Garantizar el acceso unicamente a personal autorizado al Centro de Computo y cuartos de cableado</t>
  </si>
  <si>
    <t>Fallas en el servidor de Orfeo
Fallas en el servidor de Alfresco</t>
  </si>
  <si>
    <t xml:space="preserve">Posibilidad de perdida de disponibilidad ocasionada por fallas en los servidores </t>
  </si>
  <si>
    <t>Indisponibilidad de los servidores</t>
  </si>
  <si>
    <t xml:space="preserve">Indisponibilidad de la infraestructura tecnológica por fallas en el Datacenter
Fallas Técnicas de Hardware
Error en la manipulación de la Infraestructura Tecnológica.
Falta de mantenimiento a la infraestructura de: cableado, racks, aire acondicionado, sistemas de detección de incendios, UPS y planta eléctrica
</t>
  </si>
  <si>
    <t>ESTADISTICAS DE LA RED DISTRITAL DE BIBLIOTECAS PÚBLICAS DE BOGOTÁ - BIBLORED
RED DISTRITAL DE BIBLIOTECAS PÚBLICAS DE BOGOTÁ - BIBLORED
Actas</t>
  </si>
  <si>
    <t>Verificación semestral por parte del profesional designado por la DLB, del mantenimiento de los servidores en donde se encuentran los aplicativos Orfeo y Alfresco, solicitando la evidencia del mantenimiento realizado</t>
  </si>
  <si>
    <t>Verificación mensual por parte del profesional designado por la DLB, del backup de información de los servidores en donde se encuentran los aplicativos Orfeo y Alfresco, solicitando la evidencia del mantenimiento realizado</t>
  </si>
  <si>
    <t>RED DISTRITAL DE BIBLIOTECAS PÚBLICAS DE BOGOTÁ - BIBLORED</t>
  </si>
  <si>
    <t>Posibilidad de perdida de disponibilidad ocasionada por fallas tecnológicas en los servidores</t>
  </si>
  <si>
    <t>Verificación mensual por parte del profesional designado por la DLB, de la ejecución oportuna de los mantenimientos de la infraestructura tecnológica de BibloRed, solicitando la evidencia de los mantenimientos realizados</t>
  </si>
  <si>
    <t>Verificación y actualización anual del Plan de recuperación ante desastres (DRP) documentado y en producción,  por parte del profesional designado por la DLB</t>
  </si>
  <si>
    <t>Ausencia de mantenimientos preventivos de los aplicativos</t>
  </si>
  <si>
    <t>Falta de mantenimiento del software</t>
  </si>
  <si>
    <t>Posibilidad de perdida de disponibilidad del software por falta de mantenimiento ocasionando la denegación del servicio</t>
  </si>
  <si>
    <t>Interrupciones o denegación del aplicativo</t>
  </si>
  <si>
    <t>Errores humanos al no actualizar la versión del software</t>
  </si>
  <si>
    <t>Información desactualizada</t>
  </si>
  <si>
    <t>Revisión de información mensual del portal y micrositios por parte del funcionario designado por la DLB</t>
  </si>
  <si>
    <t>Cambio de contraseñas seguras de manera semestral por parte del profesional Community Manager de acuerdo a los lineamientos establecidos en las políticas de seguridad y privacidad de seguridad de la información</t>
  </si>
  <si>
    <t xml:space="preserve">Modificación o eliminación involuntaria de información </t>
  </si>
  <si>
    <t>Perdida de la información registrada</t>
  </si>
  <si>
    <t xml:space="preserve">Posibilidad de perdida de integridad de la información registrada por modificación o alteración </t>
  </si>
  <si>
    <t>Realizar copia de seguridad diaria en un lugar externo al datacenter por parte del funcionario designado por la DLB</t>
  </si>
  <si>
    <t>Posibilidad de indisponibilidad de la base de datos por fallas tecnológicas en los servidores</t>
  </si>
  <si>
    <t>Verificación mensual por parte del profesional designado por la DLB, del backup de los servidores e infraestructura, solicitando la evidencia del mantenimiento realizado</t>
  </si>
  <si>
    <t>Verificación mensual por parte del profesional designado por la DLB, de la renovación oportuna de las licencias de software relacionadas con la infraestructura tecnológica de BibloRed, solicitando la evidencia de las renovaciones realizadas</t>
  </si>
  <si>
    <t>Verificación semestral por parte del profesional designado por la DLB, de la actualización oportuna de los componentes de los sistemas de información y sistemas operativos relacionadas con la infraestructura tecnológica de BibloRed, solicitando la evidencia de las actualizaciones realizadas</t>
  </si>
  <si>
    <t>Fallas en el funcionamiento de los aplicativos por licenciamientos no renovados y software desactualizados</t>
  </si>
  <si>
    <t>Ausencia de renovaciones de licenciamiento y/o desactualización de sistemas operativos y componentes en los aplicativos</t>
  </si>
  <si>
    <t>Posibilidad de perdida de disponibilidad del software por falta de renovación del licenciamiento  y/o desactualización de sistemas operativos y componentes, ocasionando la denegación del servicio</t>
  </si>
  <si>
    <t>Si se evidencia una falla técnica en el acceso a los servidores, el funcionario designado por la DLB, debe solicitar a la OTI (Orfeo) o CST - Centro de Soporte Tecnológico de BibloRed (Alfresco) la revisión del aplicativo y hacer seguimiento hasta la solución del problema.</t>
  </si>
  <si>
    <t>Si se evidencia una falla técnica en el acceso a los servidores, el funcionario designado por la DLB, debe solicitar al CST - Centro de Soporte Tecnológico de BibloRed la revisión del aplicativo y hacer seguimiento hasta la solución del problema.</t>
  </si>
  <si>
    <t>Verificación mensual por parte del profesional designado por la DLB, de la ejecución oportuna de los mantenimientos de los portales y micrositios, solicitando la evidencia de los mantenimientos realizados</t>
  </si>
  <si>
    <t>Verificación mensual por parte del profesional designado por la DLB, de la renovación oportuna de los certificados de seguridad de los portales y micrositios, solicitando la evidencia de las renovaciones realizadas</t>
  </si>
  <si>
    <t>Posibilidad de perdida de disponibilidad ocasionada por errores humanos al no tener la información actualizada
Por la no renovación de los certificados de seguridad en los portales y micrositios</t>
  </si>
  <si>
    <t>Acceso denegado a las cuentas de redes sociales por pérdida de las claves de redes sociales</t>
  </si>
  <si>
    <t xml:space="preserve">Posibilidad de perdida de disponibilidad ocasionada por pérdida de acceso a las cuentas de redes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</si>
</sst>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3" fillId="0" borderId="0" applyFont="0" applyFill="0" applyBorder="0" applyAlignment="0" applyProtection="0"/>
    <xf numFmtId="0" fontId="46" fillId="0" borderId="0"/>
    <xf numFmtId="0" fontId="47" fillId="0" borderId="0"/>
    <xf numFmtId="0" fontId="5" fillId="0" borderId="0"/>
    <xf numFmtId="0" fontId="12" fillId="16" borderId="0" applyNumberFormat="0" applyBorder="0" applyAlignment="0" applyProtection="0"/>
  </cellStyleXfs>
  <cellXfs count="44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9" fontId="9" fillId="0" borderId="11"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1"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Border="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Border="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Border="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0" xfId="0" applyFont="1" applyFill="1" applyBorder="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22" fillId="13" borderId="19"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5"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2" fillId="3" borderId="0" xfId="0" applyFont="1" applyFill="1"/>
    <xf numFmtId="0" fontId="30" fillId="3" borderId="0" xfId="0" applyFont="1" applyFill="1" applyAlignment="1">
      <alignment horizontal="center" vertical="center" wrapText="1"/>
    </xf>
    <xf numFmtId="0" fontId="11" fillId="3" borderId="0" xfId="0" applyFont="1" applyFill="1" applyBorder="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Fill="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7" fillId="17" borderId="33" xfId="5" applyFont="1" applyFill="1" applyBorder="1" applyAlignment="1">
      <alignment horizontal="center" vertical="center" wrapText="1"/>
    </xf>
    <xf numFmtId="0" fontId="57" fillId="17" borderId="77" xfId="5" applyFont="1" applyFill="1" applyBorder="1" applyAlignment="1">
      <alignment vertical="center" wrapText="1"/>
    </xf>
    <xf numFmtId="0" fontId="58"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1" fillId="0" borderId="0" xfId="0" applyFont="1"/>
    <xf numFmtId="0" fontId="58" fillId="18" borderId="76" xfId="0" applyFont="1" applyFill="1" applyBorder="1" applyAlignment="1">
      <alignment horizontal="left"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62" fillId="19" borderId="79" xfId="4" applyFont="1" applyFill="1" applyBorder="1" applyAlignment="1">
      <alignment horizontal="left" vertical="top" wrapText="1"/>
    </xf>
    <xf numFmtId="0" fontId="62" fillId="20" borderId="80" xfId="4" applyFont="1" applyFill="1" applyBorder="1" applyAlignment="1">
      <alignment horizontal="left" vertical="top" wrapText="1"/>
    </xf>
    <xf numFmtId="0" fontId="62" fillId="21" borderId="80" xfId="4" applyFont="1" applyFill="1" applyBorder="1" applyAlignment="1">
      <alignment horizontal="left" vertical="top" wrapText="1"/>
    </xf>
    <xf numFmtId="0" fontId="0" fillId="0" borderId="80" xfId="0" applyFont="1" applyBorder="1" applyAlignment="1">
      <alignment horizontal="left" vertical="top"/>
    </xf>
    <xf numFmtId="0" fontId="62" fillId="3" borderId="80" xfId="4" applyFont="1" applyFill="1" applyBorder="1" applyAlignment="1">
      <alignment horizontal="left" vertical="top" wrapText="1"/>
    </xf>
    <xf numFmtId="0" fontId="62" fillId="0" borderId="80" xfId="4" applyFont="1" applyBorder="1" applyAlignment="1">
      <alignment horizontal="left" vertical="top"/>
    </xf>
    <xf numFmtId="0" fontId="62" fillId="19" borderId="80" xfId="4" applyFont="1" applyFill="1" applyBorder="1" applyAlignment="1">
      <alignment horizontal="left" vertical="top" wrapText="1"/>
    </xf>
    <xf numFmtId="0" fontId="62" fillId="0" borderId="81" xfId="4" applyFont="1" applyBorder="1"/>
    <xf numFmtId="0" fontId="63" fillId="3" borderId="79" xfId="0" applyFont="1" applyFill="1" applyBorder="1" applyAlignment="1">
      <alignment vertical="top" wrapText="1"/>
    </xf>
    <xf numFmtId="0" fontId="63" fillId="3" borderId="80" xfId="0" applyFont="1" applyFill="1" applyBorder="1" applyAlignment="1">
      <alignment vertical="top" wrapText="1"/>
    </xf>
    <xf numFmtId="0" fontId="63" fillId="3" borderId="81" xfId="0" applyFont="1" applyFill="1" applyBorder="1" applyAlignment="1">
      <alignment vertical="top" wrapText="1"/>
    </xf>
    <xf numFmtId="0" fontId="4" fillId="22" borderId="2" xfId="0" applyFont="1" applyFill="1" applyBorder="1" applyAlignment="1">
      <alignment horizontal="center" vertical="center" textRotation="9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2" xfId="0" applyFont="1" applyBorder="1" applyAlignment="1" applyProtection="1">
      <alignment horizontal="justify" vertical="top" wrapText="1"/>
      <protection locked="0"/>
    </xf>
    <xf numFmtId="0" fontId="1" fillId="13" borderId="2" xfId="0" applyFont="1" applyFill="1" applyBorder="1" applyAlignment="1" applyProtection="1">
      <alignment horizontal="justify" vertical="top" wrapText="1"/>
      <protection locked="0"/>
    </xf>
    <xf numFmtId="0" fontId="2" fillId="0" borderId="4" xfId="0" applyFont="1" applyFill="1" applyBorder="1" applyAlignment="1" applyProtection="1">
      <alignment horizontal="center" vertical="top" wrapText="1"/>
      <protection locked="0"/>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Fill="1" applyBorder="1" applyAlignment="1" applyProtection="1">
      <alignment horizontal="center" vertical="top" wrapText="1"/>
      <protection locked="0"/>
    </xf>
    <xf numFmtId="0" fontId="2" fillId="0" borderId="8" xfId="0"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Fill="1" applyBorder="1" applyAlignment="1" applyProtection="1">
      <alignment horizontal="center" vertical="top"/>
      <protection locked="0"/>
    </xf>
    <xf numFmtId="0" fontId="1" fillId="0" borderId="8" xfId="0" applyFont="1" applyFill="1" applyBorder="1" applyAlignment="1" applyProtection="1">
      <alignment horizontal="center" vertical="top"/>
      <protection locked="0"/>
    </xf>
    <xf numFmtId="0" fontId="1" fillId="0" borderId="5" xfId="0" applyFont="1" applyFill="1" applyBorder="1" applyAlignment="1" applyProtection="1">
      <alignment horizontal="center" vertical="top"/>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3" borderId="0" xfId="0" applyFont="1" applyFill="1" applyBorder="1" applyAlignment="1">
      <alignment horizontal="left" vertical="center"/>
    </xf>
    <xf numFmtId="0" fontId="4" fillId="22" borderId="28" xfId="0" applyFont="1" applyFill="1" applyBorder="1" applyAlignment="1">
      <alignment horizontal="center" vertical="center"/>
    </xf>
    <xf numFmtId="0" fontId="4" fillId="22" borderId="29" xfId="0" applyFont="1" applyFill="1" applyBorder="1" applyAlignment="1">
      <alignment horizontal="center" vertical="center"/>
    </xf>
    <xf numFmtId="0" fontId="4" fillId="22" borderId="30"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31" xfId="0" applyFont="1" applyFill="1" applyBorder="1" applyAlignment="1">
      <alignment horizontal="center" vertical="center"/>
    </xf>
    <xf numFmtId="0" fontId="4" fillId="22" borderId="32" xfId="0" applyFont="1" applyFill="1" applyBorder="1" applyAlignment="1">
      <alignment horizontal="center" vertical="center"/>
    </xf>
    <xf numFmtId="0" fontId="23" fillId="22" borderId="6" xfId="0" applyFont="1" applyFill="1" applyBorder="1" applyAlignment="1">
      <alignment horizontal="center" vertical="center"/>
    </xf>
    <xf numFmtId="0" fontId="23" fillId="22" borderId="10" xfId="0" applyFont="1" applyFill="1" applyBorder="1" applyAlignment="1">
      <alignment horizontal="center" vertical="center"/>
    </xf>
    <xf numFmtId="0" fontId="23" fillId="22" borderId="7" xfId="0" applyFont="1" applyFill="1" applyBorder="1" applyAlignment="1">
      <alignment horizontal="center" vertical="center"/>
    </xf>
    <xf numFmtId="0" fontId="64" fillId="22" borderId="6" xfId="0" applyFont="1" applyFill="1" applyBorder="1" applyAlignment="1">
      <alignment horizontal="center" vertical="center"/>
    </xf>
    <xf numFmtId="0" fontId="64" fillId="22" borderId="10" xfId="0" applyFont="1" applyFill="1" applyBorder="1" applyAlignment="1">
      <alignment horizontal="center" vertical="center"/>
    </xf>
    <xf numFmtId="0" fontId="64" fillId="22" borderId="7" xfId="0" applyFont="1" applyFill="1" applyBorder="1" applyAlignment="1">
      <alignment horizontal="center" vertical="center"/>
    </xf>
    <xf numFmtId="0" fontId="4" fillId="22" borderId="2" xfId="0" applyFont="1" applyFill="1" applyBorder="1" applyAlignment="1">
      <alignment horizontal="center" vertical="center" wrapText="1"/>
    </xf>
    <xf numFmtId="0" fontId="25" fillId="22" borderId="4" xfId="0" applyFont="1" applyFill="1" applyBorder="1" applyAlignment="1">
      <alignment horizontal="center" vertical="center" textRotation="90"/>
    </xf>
    <xf numFmtId="0" fontId="25" fillId="22" borderId="5" xfId="0" applyFont="1" applyFill="1" applyBorder="1" applyAlignment="1">
      <alignment horizontal="center" vertical="center" textRotation="90"/>
    </xf>
    <xf numFmtId="0" fontId="4" fillId="22" borderId="4"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4" fillId="22" borderId="2" xfId="0" applyFont="1" applyFill="1" applyBorder="1" applyAlignment="1">
      <alignment horizontal="center" vertical="center" textRotation="90"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Fill="1" applyBorder="1" applyAlignment="1" applyProtection="1">
      <alignment horizontal="center" vertical="top"/>
    </xf>
    <xf numFmtId="0" fontId="1" fillId="0" borderId="8" xfId="0" applyFont="1" applyFill="1" applyBorder="1" applyAlignment="1" applyProtection="1">
      <alignment horizontal="center" vertical="top"/>
    </xf>
    <xf numFmtId="0" fontId="1" fillId="0" borderId="5" xfId="0" applyFont="1" applyFill="1" applyBorder="1" applyAlignment="1" applyProtection="1">
      <alignment horizontal="center" vertical="top"/>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9" xfId="0" applyFont="1" applyFill="1" applyBorder="1" applyAlignment="1">
      <alignment horizontal="center" vertical="center" wrapText="1"/>
    </xf>
    <xf numFmtId="0" fontId="1" fillId="3" borderId="6"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6"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4" fillId="22" borderId="6" xfId="0" applyFont="1" applyFill="1" applyBorder="1" applyAlignment="1">
      <alignment horizontal="left" vertical="center"/>
    </xf>
    <xf numFmtId="0" fontId="4" fillId="22" borderId="10" xfId="0" applyFont="1" applyFill="1" applyBorder="1" applyAlignment="1">
      <alignment horizontal="left" vertical="center"/>
    </xf>
    <xf numFmtId="0" fontId="4" fillId="22" borderId="7" xfId="0" applyFont="1" applyFill="1" applyBorder="1" applyAlignment="1">
      <alignment horizontal="left" vertical="center"/>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Border="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Border="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0" xfId="0" applyFont="1" applyBorder="1" applyAlignment="1">
      <alignment horizontal="center" vertical="center"/>
    </xf>
    <xf numFmtId="0" fontId="16" fillId="0" borderId="19" xfId="0" applyFont="1" applyBorder="1" applyAlignment="1">
      <alignment horizontal="center" vertical="center" wrapText="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1" fillId="0" borderId="0" xfId="0" applyFont="1" applyAlignment="1">
      <alignment horizontal="center" vertical="center" wrapText="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42" fillId="0" borderId="19" xfId="0" applyFont="1" applyBorder="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57" fillId="17" borderId="77" xfId="5" applyFont="1" applyFill="1" applyBorder="1" applyAlignment="1">
      <alignment horizontal="center" vertical="center" wrapText="1"/>
    </xf>
    <xf numFmtId="0" fontId="57" fillId="17" borderId="78" xfId="5" applyFont="1" applyFill="1" applyBorder="1" applyAlignment="1">
      <alignment horizontal="center" vertical="center" wrapText="1"/>
    </xf>
    <xf numFmtId="0" fontId="58" fillId="3" borderId="75" xfId="0" applyFont="1" applyFill="1" applyBorder="1" applyAlignment="1">
      <alignment horizontal="center" vertical="center" wrapText="1"/>
    </xf>
    <xf numFmtId="0" fontId="58" fillId="3" borderId="76" xfId="0" applyFont="1" applyFill="1" applyBorder="1" applyAlignment="1">
      <alignment horizontal="center" vertical="center" wrapText="1"/>
    </xf>
    <xf numFmtId="0" fontId="58" fillId="3" borderId="34" xfId="0" applyFont="1" applyFill="1" applyBorder="1" applyAlignment="1">
      <alignment horizontal="center" vertical="center" wrapText="1"/>
    </xf>
  </cellXfs>
  <cellStyles count="6">
    <cellStyle name="Énfasis6" xfId="5" builtinId="49"/>
    <cellStyle name="Normal" xfId="0" builtinId="0"/>
    <cellStyle name="Normal - Style1 2" xfId="2"/>
    <cellStyle name="Normal 2" xfId="4"/>
    <cellStyle name="Normal 2 2" xfId="3"/>
    <cellStyle name="Porcentaje" xfId="1" builtinId="5"/>
  </cellStyles>
  <dxfs count="280">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ng. Andru" refreshedDate="44719.797894097224" createdVersion="6" refreshedVersion="8"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ng. Andru" refreshedDate="44719.820464814817" createdVersion="8" refreshedVersion="8" minRefreshableVersion="3" recordCount="7">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6" dataDxfId="5">
  <autoFilter ref="B209:C219"/>
  <tableColumns count="2">
    <tableColumn id="1" name="Criterios" dataDxfId="4"/>
    <tableColumn id="2" name="Subcriterios" dataDxfId="3"/>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B228:C235" totalsRowShown="0" dataDxfId="2">
  <autoFilter ref="B228:C235"/>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topLeftCell="A10" zoomScale="110" zoomScaleNormal="110" workbookViewId="0">
      <selection activeCell="G16" sqref="G16"/>
    </sheetView>
  </sheetViews>
  <sheetFormatPr baseColWidth="10" defaultColWidth="11.42578125" defaultRowHeight="15" x14ac:dyDescent="0.25"/>
  <cols>
    <col min="1" max="1" width="2.85546875" style="83" customWidth="1"/>
    <col min="2" max="3" width="24.5703125" style="83" customWidth="1"/>
    <col min="4" max="4" width="16" style="83" customWidth="1"/>
    <col min="5" max="5" width="24.5703125" style="83" customWidth="1"/>
    <col min="6" max="6" width="27.5703125" style="83" customWidth="1"/>
    <col min="7" max="8" width="24.5703125" style="83" customWidth="1"/>
    <col min="9" max="16384" width="11.42578125" style="83"/>
  </cols>
  <sheetData>
    <row r="1" spans="2:8" ht="15.75" thickBot="1" x14ac:dyDescent="0.3"/>
    <row r="2" spans="2:8" ht="18" x14ac:dyDescent="0.25">
      <c r="B2" s="189" t="s">
        <v>148</v>
      </c>
      <c r="C2" s="190"/>
      <c r="D2" s="190"/>
      <c r="E2" s="190"/>
      <c r="F2" s="190"/>
      <c r="G2" s="190"/>
      <c r="H2" s="191"/>
    </row>
    <row r="3" spans="2:8" x14ac:dyDescent="0.25">
      <c r="B3" s="84"/>
      <c r="C3" s="85"/>
      <c r="D3" s="85"/>
      <c r="E3" s="85"/>
      <c r="F3" s="85"/>
      <c r="G3" s="85"/>
      <c r="H3" s="86"/>
    </row>
    <row r="4" spans="2:8" ht="63" customHeight="1" x14ac:dyDescent="0.25">
      <c r="B4" s="192" t="s">
        <v>172</v>
      </c>
      <c r="C4" s="193"/>
      <c r="D4" s="193"/>
      <c r="E4" s="193"/>
      <c r="F4" s="193"/>
      <c r="G4" s="193"/>
      <c r="H4" s="194"/>
    </row>
    <row r="5" spans="2:8" ht="63" customHeight="1" x14ac:dyDescent="0.25">
      <c r="B5" s="195"/>
      <c r="C5" s="196"/>
      <c r="D5" s="196"/>
      <c r="E5" s="196"/>
      <c r="F5" s="196"/>
      <c r="G5" s="196"/>
      <c r="H5" s="197"/>
    </row>
    <row r="6" spans="2:8" ht="16.5" x14ac:dyDescent="0.25">
      <c r="B6" s="198" t="s">
        <v>146</v>
      </c>
      <c r="C6" s="199"/>
      <c r="D6" s="199"/>
      <c r="E6" s="199"/>
      <c r="F6" s="199"/>
      <c r="G6" s="199"/>
      <c r="H6" s="200"/>
    </row>
    <row r="7" spans="2:8" ht="95.25" customHeight="1" x14ac:dyDescent="0.25">
      <c r="B7" s="208" t="s">
        <v>150</v>
      </c>
      <c r="C7" s="209"/>
      <c r="D7" s="209"/>
      <c r="E7" s="209"/>
      <c r="F7" s="209"/>
      <c r="G7" s="209"/>
      <c r="H7" s="210"/>
    </row>
    <row r="8" spans="2:8" ht="16.5" x14ac:dyDescent="0.25">
      <c r="B8" s="121"/>
      <c r="C8" s="122"/>
      <c r="D8" s="122"/>
      <c r="E8" s="122"/>
      <c r="F8" s="122"/>
      <c r="G8" s="122"/>
      <c r="H8" s="123"/>
    </row>
    <row r="9" spans="2:8" ht="16.5" customHeight="1" x14ac:dyDescent="0.25">
      <c r="B9" s="201" t="s">
        <v>165</v>
      </c>
      <c r="C9" s="202"/>
      <c r="D9" s="202"/>
      <c r="E9" s="202"/>
      <c r="F9" s="202"/>
      <c r="G9" s="202"/>
      <c r="H9" s="203"/>
    </row>
    <row r="10" spans="2:8" ht="44.45" customHeight="1" x14ac:dyDescent="0.25">
      <c r="B10" s="201"/>
      <c r="C10" s="202"/>
      <c r="D10" s="202"/>
      <c r="E10" s="202"/>
      <c r="F10" s="202"/>
      <c r="G10" s="202"/>
      <c r="H10" s="203"/>
    </row>
    <row r="11" spans="2:8" ht="15.75" thickBot="1" x14ac:dyDescent="0.3">
      <c r="B11" s="109"/>
      <c r="C11" s="112"/>
      <c r="D11" s="117"/>
      <c r="E11" s="118"/>
      <c r="F11" s="118"/>
      <c r="G11" s="119"/>
      <c r="H11" s="120"/>
    </row>
    <row r="12" spans="2:8" ht="15.75" thickTop="1" x14ac:dyDescent="0.25">
      <c r="B12" s="109"/>
      <c r="C12" s="204" t="s">
        <v>147</v>
      </c>
      <c r="D12" s="205"/>
      <c r="E12" s="206" t="s">
        <v>166</v>
      </c>
      <c r="F12" s="207"/>
      <c r="G12" s="112"/>
      <c r="H12" s="113"/>
    </row>
    <row r="13" spans="2:8" ht="35.450000000000003" customHeight="1" x14ac:dyDescent="0.25">
      <c r="B13" s="109"/>
      <c r="C13" s="176" t="s">
        <v>162</v>
      </c>
      <c r="D13" s="177"/>
      <c r="E13" s="178" t="s">
        <v>219</v>
      </c>
      <c r="F13" s="179"/>
      <c r="G13" s="112"/>
      <c r="H13" s="113"/>
    </row>
    <row r="14" spans="2:8" ht="35.450000000000003" customHeight="1" x14ac:dyDescent="0.25">
      <c r="B14" s="109"/>
      <c r="C14" s="176" t="s">
        <v>218</v>
      </c>
      <c r="D14" s="177"/>
      <c r="E14" s="178" t="s">
        <v>220</v>
      </c>
      <c r="F14" s="179"/>
      <c r="G14" s="112"/>
      <c r="H14" s="113"/>
    </row>
    <row r="15" spans="2:8" ht="25.9" customHeight="1" x14ac:dyDescent="0.25">
      <c r="B15" s="109"/>
      <c r="C15" s="176" t="s">
        <v>163</v>
      </c>
      <c r="D15" s="177"/>
      <c r="E15" s="178" t="s">
        <v>285</v>
      </c>
      <c r="F15" s="179"/>
      <c r="G15" s="112"/>
      <c r="H15" s="113"/>
    </row>
    <row r="16" spans="2:8" ht="25.15" customHeight="1" x14ac:dyDescent="0.25">
      <c r="B16" s="109"/>
      <c r="C16" s="176" t="s">
        <v>164</v>
      </c>
      <c r="D16" s="177"/>
      <c r="E16" s="178" t="s">
        <v>286</v>
      </c>
      <c r="F16" s="179"/>
      <c r="G16" s="112"/>
      <c r="H16" s="113"/>
    </row>
    <row r="17" spans="2:8" ht="21.2" customHeight="1" x14ac:dyDescent="0.25">
      <c r="B17" s="109"/>
      <c r="C17" s="176" t="s">
        <v>149</v>
      </c>
      <c r="D17" s="177"/>
      <c r="E17" s="178" t="s">
        <v>221</v>
      </c>
      <c r="F17" s="179"/>
      <c r="G17" s="112"/>
      <c r="H17" s="113"/>
    </row>
    <row r="18" spans="2:8" ht="83.45" customHeight="1" x14ac:dyDescent="0.25">
      <c r="B18" s="109"/>
      <c r="C18" s="174" t="s">
        <v>183</v>
      </c>
      <c r="D18" s="175"/>
      <c r="E18" s="172" t="s">
        <v>222</v>
      </c>
      <c r="F18" s="173"/>
      <c r="G18" s="112"/>
      <c r="H18" s="113"/>
    </row>
    <row r="19" spans="2:8" ht="83.45" customHeight="1" x14ac:dyDescent="0.25">
      <c r="B19" s="109"/>
      <c r="C19" s="149" t="s">
        <v>294</v>
      </c>
      <c r="D19" s="150"/>
      <c r="E19" s="172" t="s">
        <v>295</v>
      </c>
      <c r="F19" s="173"/>
      <c r="G19" s="112"/>
      <c r="H19" s="113"/>
    </row>
    <row r="20" spans="2:8" ht="34.5" customHeight="1" x14ac:dyDescent="0.25">
      <c r="B20" s="109"/>
      <c r="C20" s="174" t="s">
        <v>2</v>
      </c>
      <c r="D20" s="175"/>
      <c r="E20" s="172" t="s">
        <v>223</v>
      </c>
      <c r="F20" s="173"/>
      <c r="G20" s="112"/>
      <c r="H20" s="113"/>
    </row>
    <row r="21" spans="2:8" ht="87" customHeight="1" x14ac:dyDescent="0.25">
      <c r="B21" s="109"/>
      <c r="C21" s="180" t="s">
        <v>180</v>
      </c>
      <c r="D21" s="181"/>
      <c r="E21" s="172" t="s">
        <v>287</v>
      </c>
      <c r="F21" s="173"/>
      <c r="G21" s="112"/>
      <c r="H21" s="113"/>
    </row>
    <row r="22" spans="2:8" ht="103.35" customHeight="1" x14ac:dyDescent="0.25">
      <c r="B22" s="109"/>
      <c r="C22" s="180" t="s">
        <v>181</v>
      </c>
      <c r="D22" s="181"/>
      <c r="E22" s="172" t="s">
        <v>288</v>
      </c>
      <c r="F22" s="173"/>
      <c r="G22" s="112"/>
      <c r="H22" s="113"/>
    </row>
    <row r="23" spans="2:8" ht="72.75" customHeight="1" x14ac:dyDescent="0.25">
      <c r="B23" s="109"/>
      <c r="C23" s="180" t="s">
        <v>191</v>
      </c>
      <c r="D23" s="181"/>
      <c r="E23" s="172" t="s">
        <v>289</v>
      </c>
      <c r="F23" s="173"/>
      <c r="G23" s="112"/>
      <c r="H23" s="113"/>
    </row>
    <row r="24" spans="2:8" ht="72.75" customHeight="1" x14ac:dyDescent="0.25">
      <c r="B24" s="109"/>
      <c r="C24" s="180" t="s">
        <v>1</v>
      </c>
      <c r="D24" s="181"/>
      <c r="E24" s="172" t="s">
        <v>224</v>
      </c>
      <c r="F24" s="173"/>
      <c r="G24" s="112"/>
      <c r="H24" s="113"/>
    </row>
    <row r="25" spans="2:8" ht="85.7" customHeight="1" x14ac:dyDescent="0.25">
      <c r="B25" s="109"/>
      <c r="C25" s="180" t="s">
        <v>48</v>
      </c>
      <c r="D25" s="181"/>
      <c r="E25" s="172" t="s">
        <v>293</v>
      </c>
      <c r="F25" s="173"/>
      <c r="G25" s="112"/>
      <c r="H25" s="113"/>
    </row>
    <row r="26" spans="2:8" ht="106.15" customHeight="1" x14ac:dyDescent="0.25">
      <c r="B26" s="109"/>
      <c r="C26" s="180" t="s">
        <v>151</v>
      </c>
      <c r="D26" s="181"/>
      <c r="E26" s="172" t="s">
        <v>290</v>
      </c>
      <c r="F26" s="173"/>
      <c r="G26" s="112"/>
      <c r="H26" s="113"/>
    </row>
    <row r="27" spans="2:8" ht="87" customHeight="1" x14ac:dyDescent="0.25">
      <c r="B27" s="109"/>
      <c r="C27" s="174" t="s">
        <v>152</v>
      </c>
      <c r="D27" s="175"/>
      <c r="E27" s="172" t="s">
        <v>291</v>
      </c>
      <c r="F27" s="173"/>
      <c r="G27" s="112"/>
      <c r="H27" s="113"/>
    </row>
    <row r="28" spans="2:8" ht="42" customHeight="1" x14ac:dyDescent="0.25">
      <c r="B28" s="109"/>
      <c r="C28" s="174" t="s">
        <v>46</v>
      </c>
      <c r="D28" s="175"/>
      <c r="E28" s="172" t="s">
        <v>153</v>
      </c>
      <c r="F28" s="173"/>
      <c r="G28" s="112"/>
      <c r="H28" s="113"/>
    </row>
    <row r="29" spans="2:8" ht="30.6" customHeight="1" x14ac:dyDescent="0.25">
      <c r="B29" s="109"/>
      <c r="C29" s="174" t="s">
        <v>10</v>
      </c>
      <c r="D29" s="175"/>
      <c r="E29" s="172" t="s">
        <v>225</v>
      </c>
      <c r="F29" s="173"/>
      <c r="G29" s="112"/>
      <c r="H29" s="113"/>
    </row>
    <row r="30" spans="2:8" ht="59.25" customHeight="1" x14ac:dyDescent="0.25">
      <c r="B30" s="109"/>
      <c r="C30" s="174" t="s">
        <v>145</v>
      </c>
      <c r="D30" s="175"/>
      <c r="E30" s="172" t="s">
        <v>154</v>
      </c>
      <c r="F30" s="173"/>
      <c r="G30" s="112"/>
      <c r="H30" s="113"/>
    </row>
    <row r="31" spans="2:8" ht="27.75" customHeight="1" x14ac:dyDescent="0.25">
      <c r="B31" s="109"/>
      <c r="C31" s="174" t="s">
        <v>11</v>
      </c>
      <c r="D31" s="175"/>
      <c r="E31" s="172" t="s">
        <v>226</v>
      </c>
      <c r="F31" s="173"/>
      <c r="G31" s="112"/>
      <c r="H31" s="113"/>
    </row>
    <row r="32" spans="2:8" ht="41.45" customHeight="1" x14ac:dyDescent="0.25">
      <c r="B32" s="109"/>
      <c r="C32" s="174" t="s">
        <v>155</v>
      </c>
      <c r="D32" s="175"/>
      <c r="E32" s="172" t="s">
        <v>227</v>
      </c>
      <c r="F32" s="173"/>
      <c r="G32" s="112"/>
      <c r="H32" s="113"/>
    </row>
    <row r="33" spans="2:8" ht="35.450000000000003" customHeight="1" x14ac:dyDescent="0.25">
      <c r="B33" s="109"/>
      <c r="C33" s="174" t="s">
        <v>156</v>
      </c>
      <c r="D33" s="175"/>
      <c r="E33" s="172" t="s">
        <v>228</v>
      </c>
      <c r="F33" s="173"/>
      <c r="G33" s="112"/>
      <c r="H33" s="113"/>
    </row>
    <row r="34" spans="2:8" ht="30.2" customHeight="1" x14ac:dyDescent="0.25">
      <c r="B34" s="109"/>
      <c r="C34" s="174" t="s">
        <v>157</v>
      </c>
      <c r="D34" s="175"/>
      <c r="E34" s="172" t="s">
        <v>229</v>
      </c>
      <c r="F34" s="173"/>
      <c r="G34" s="112"/>
      <c r="H34" s="113"/>
    </row>
    <row r="35" spans="2:8" ht="35.450000000000003" customHeight="1" x14ac:dyDescent="0.25">
      <c r="B35" s="109"/>
      <c r="C35" s="174" t="s">
        <v>158</v>
      </c>
      <c r="D35" s="175"/>
      <c r="E35" s="172" t="s">
        <v>230</v>
      </c>
      <c r="F35" s="173"/>
      <c r="G35" s="112"/>
      <c r="H35" s="113"/>
    </row>
    <row r="36" spans="2:8" ht="31.7" customHeight="1" x14ac:dyDescent="0.25">
      <c r="B36" s="109"/>
      <c r="C36" s="174" t="s">
        <v>159</v>
      </c>
      <c r="D36" s="175"/>
      <c r="E36" s="172" t="s">
        <v>231</v>
      </c>
      <c r="F36" s="173"/>
      <c r="G36" s="112"/>
      <c r="H36" s="113"/>
    </row>
    <row r="37" spans="2:8" ht="35.450000000000003" customHeight="1" x14ac:dyDescent="0.25">
      <c r="B37" s="109"/>
      <c r="C37" s="174" t="s">
        <v>160</v>
      </c>
      <c r="D37" s="175"/>
      <c r="E37" s="172" t="s">
        <v>232</v>
      </c>
      <c r="F37" s="173"/>
      <c r="G37" s="112"/>
      <c r="H37" s="113"/>
    </row>
    <row r="38" spans="2:8" ht="101.45" customHeight="1" x14ac:dyDescent="0.25">
      <c r="B38" s="109"/>
      <c r="C38" s="174" t="s">
        <v>233</v>
      </c>
      <c r="D38" s="175"/>
      <c r="E38" s="172" t="s">
        <v>234</v>
      </c>
      <c r="F38" s="173"/>
      <c r="G38" s="112"/>
      <c r="H38" s="113"/>
    </row>
    <row r="39" spans="2:8" ht="29.25" customHeight="1" x14ac:dyDescent="0.25">
      <c r="B39" s="109"/>
      <c r="C39" s="174" t="s">
        <v>28</v>
      </c>
      <c r="D39" s="175"/>
      <c r="E39" s="172" t="s">
        <v>235</v>
      </c>
      <c r="F39" s="173"/>
      <c r="G39" s="112"/>
      <c r="H39" s="113"/>
    </row>
    <row r="40" spans="2:8" ht="82.5" customHeight="1" x14ac:dyDescent="0.25">
      <c r="B40" s="109"/>
      <c r="C40" s="174" t="s">
        <v>161</v>
      </c>
      <c r="D40" s="175"/>
      <c r="E40" s="172" t="s">
        <v>236</v>
      </c>
      <c r="F40" s="173"/>
      <c r="G40" s="112"/>
      <c r="H40" s="113"/>
    </row>
    <row r="41" spans="2:8" ht="46.5" customHeight="1" x14ac:dyDescent="0.25">
      <c r="B41" s="109"/>
      <c r="C41" s="174" t="s">
        <v>38</v>
      </c>
      <c r="D41" s="175"/>
      <c r="E41" s="172" t="s">
        <v>237</v>
      </c>
      <c r="F41" s="173"/>
      <c r="G41" s="112"/>
      <c r="H41" s="113"/>
    </row>
    <row r="42" spans="2:8" ht="6.75" customHeight="1" thickBot="1" x14ac:dyDescent="0.3">
      <c r="B42" s="109"/>
      <c r="C42" s="185"/>
      <c r="D42" s="186"/>
      <c r="E42" s="187"/>
      <c r="F42" s="188"/>
      <c r="G42" s="112"/>
      <c r="H42" s="113"/>
    </row>
    <row r="43" spans="2:8" ht="15.75" thickTop="1" x14ac:dyDescent="0.25">
      <c r="B43" s="109"/>
      <c r="C43" s="110"/>
      <c r="D43" s="110"/>
      <c r="E43" s="111"/>
      <c r="F43" s="111"/>
      <c r="G43" s="112"/>
      <c r="H43" s="113"/>
    </row>
    <row r="44" spans="2:8" ht="21.2" customHeight="1" x14ac:dyDescent="0.25">
      <c r="B44" s="182" t="s">
        <v>167</v>
      </c>
      <c r="C44" s="183"/>
      <c r="D44" s="183"/>
      <c r="E44" s="183"/>
      <c r="F44" s="183"/>
      <c r="G44" s="183"/>
      <c r="H44" s="184"/>
    </row>
    <row r="45" spans="2:8" ht="20.25" customHeight="1" x14ac:dyDescent="0.25">
      <c r="B45" s="182" t="s">
        <v>168</v>
      </c>
      <c r="C45" s="183"/>
      <c r="D45" s="183"/>
      <c r="E45" s="183"/>
      <c r="F45" s="183"/>
      <c r="G45" s="183"/>
      <c r="H45" s="184"/>
    </row>
    <row r="46" spans="2:8" ht="20.25" customHeight="1" x14ac:dyDescent="0.25">
      <c r="B46" s="182" t="s">
        <v>169</v>
      </c>
      <c r="C46" s="183"/>
      <c r="D46" s="183"/>
      <c r="E46" s="183"/>
      <c r="F46" s="183"/>
      <c r="G46" s="183"/>
      <c r="H46" s="184"/>
    </row>
    <row r="47" spans="2:8" ht="20.25" customHeight="1" x14ac:dyDescent="0.25">
      <c r="B47" s="182" t="s">
        <v>170</v>
      </c>
      <c r="C47" s="183"/>
      <c r="D47" s="183"/>
      <c r="E47" s="183"/>
      <c r="F47" s="183"/>
      <c r="G47" s="183"/>
      <c r="H47" s="184"/>
    </row>
    <row r="48" spans="2:8" x14ac:dyDescent="0.25">
      <c r="B48" s="182" t="s">
        <v>171</v>
      </c>
      <c r="C48" s="183"/>
      <c r="D48" s="183"/>
      <c r="E48" s="183"/>
      <c r="F48" s="183"/>
      <c r="G48" s="183"/>
      <c r="H48" s="184"/>
    </row>
    <row r="49" spans="2:8" ht="15.75" thickBot="1" x14ac:dyDescent="0.3">
      <c r="B49" s="114"/>
      <c r="C49" s="115"/>
      <c r="D49" s="115"/>
      <c r="E49" s="115"/>
      <c r="F49" s="115"/>
      <c r="G49" s="115"/>
      <c r="H49" s="116"/>
    </row>
  </sheetData>
  <mergeCells count="71">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 ref="E14:F14"/>
    <mergeCell ref="C22:D22"/>
    <mergeCell ref="C24:D24"/>
    <mergeCell ref="E21:F21"/>
    <mergeCell ref="E22:F22"/>
    <mergeCell ref="E24:F24"/>
    <mergeCell ref="C20:D20"/>
    <mergeCell ref="E20:F2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C37:D37"/>
    <mergeCell ref="B44:H44"/>
    <mergeCell ref="C34:D34"/>
    <mergeCell ref="E34:F34"/>
    <mergeCell ref="E37:F37"/>
    <mergeCell ref="C38:D38"/>
    <mergeCell ref="C39:D39"/>
    <mergeCell ref="E39:F39"/>
    <mergeCell ref="C40:D40"/>
    <mergeCell ref="E40:F40"/>
    <mergeCell ref="B45:H45"/>
    <mergeCell ref="C42:D42"/>
    <mergeCell ref="E42:F42"/>
    <mergeCell ref="C41:D41"/>
    <mergeCell ref="E41:F4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13</v>
      </c>
    </row>
    <row r="4" spans="1:1" x14ac:dyDescent="0.2">
      <c r="A4" s="9" t="s">
        <v>14</v>
      </c>
    </row>
    <row r="5" spans="1:1" x14ac:dyDescent="0.2">
      <c r="A5" s="9" t="s">
        <v>15</v>
      </c>
    </row>
    <row r="6" spans="1:1" x14ac:dyDescent="0.2">
      <c r="A6" s="9" t="s">
        <v>9</v>
      </c>
    </row>
    <row r="7" spans="1:1" x14ac:dyDescent="0.2">
      <c r="A7" s="9" t="s">
        <v>8</v>
      </c>
    </row>
    <row r="8" spans="1:1" x14ac:dyDescent="0.2">
      <c r="A8" s="9" t="s">
        <v>18</v>
      </c>
    </row>
    <row r="9" spans="1:1" x14ac:dyDescent="0.2">
      <c r="A9" s="9" t="s">
        <v>19</v>
      </c>
    </row>
    <row r="10" spans="1:1" x14ac:dyDescent="0.2">
      <c r="A10" s="9" t="s">
        <v>21</v>
      </c>
    </row>
    <row r="11" spans="1:1" x14ac:dyDescent="0.2">
      <c r="A11" s="9" t="s">
        <v>22</v>
      </c>
    </row>
    <row r="12" spans="1:1" x14ac:dyDescent="0.2">
      <c r="A12" s="9" t="s">
        <v>24</v>
      </c>
    </row>
    <row r="13" spans="1:1" x14ac:dyDescent="0.2">
      <c r="A13" s="9" t="s">
        <v>25</v>
      </c>
    </row>
    <row r="14" spans="1:1" x14ac:dyDescent="0.2">
      <c r="A14" s="9" t="s">
        <v>26</v>
      </c>
    </row>
    <row r="16" spans="1:1" x14ac:dyDescent="0.2">
      <c r="A16" s="9" t="s">
        <v>29</v>
      </c>
    </row>
    <row r="17" spans="1:1" x14ac:dyDescent="0.2">
      <c r="A17" s="9" t="s">
        <v>30</v>
      </c>
    </row>
    <row r="18" spans="1:1" x14ac:dyDescent="0.2">
      <c r="A18" s="9" t="s">
        <v>31</v>
      </c>
    </row>
    <row r="20" spans="1:1" x14ac:dyDescent="0.2">
      <c r="A20" s="9" t="s">
        <v>39</v>
      </c>
    </row>
    <row r="21" spans="1:1" x14ac:dyDescent="0.2">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S79"/>
  <sheetViews>
    <sheetView tabSelected="1" zoomScaleNormal="100" workbookViewId="0">
      <pane xSplit="4" ySplit="10" topLeftCell="P57" activePane="bottomRight" state="frozen"/>
      <selection pane="topRight" activeCell="E1" sqref="E1"/>
      <selection pane="bottomLeft" activeCell="A11" sqref="A11"/>
      <selection pane="bottomRight" activeCell="W58" sqref="W58"/>
    </sheetView>
  </sheetViews>
  <sheetFormatPr baseColWidth="10" defaultColWidth="11.42578125" defaultRowHeight="16.5" x14ac:dyDescent="0.3"/>
  <cols>
    <col min="1" max="1" width="4" style="2" bestFit="1"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38.42578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23" style="1" customWidth="1"/>
    <col min="35" max="35" width="18.855468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71" ht="16.5" hidden="1" customHeight="1" x14ac:dyDescent="0.3">
      <c r="A1" s="242" t="s">
        <v>292</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4"/>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24" hidden="1" customHeight="1" x14ac:dyDescent="0.3">
      <c r="A2" s="245"/>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idden="1" x14ac:dyDescent="0.3">
      <c r="A3" s="27"/>
      <c r="B3" s="28"/>
      <c r="C3" s="28"/>
      <c r="D3" s="27"/>
      <c r="E3" s="27"/>
      <c r="F3" s="7"/>
      <c r="G3" s="27"/>
      <c r="H3" s="27"/>
      <c r="I3" s="26"/>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26.45" hidden="1" customHeight="1" x14ac:dyDescent="0.3">
      <c r="A4" s="281" t="s">
        <v>41</v>
      </c>
      <c r="B4" s="282"/>
      <c r="C4" s="283"/>
      <c r="D4" s="275" t="s">
        <v>265</v>
      </c>
      <c r="E4" s="276"/>
      <c r="F4" s="276"/>
      <c r="G4" s="276"/>
      <c r="H4" s="276"/>
      <c r="I4" s="276"/>
      <c r="J4" s="276"/>
      <c r="K4" s="276"/>
      <c r="L4" s="276"/>
      <c r="M4" s="276"/>
      <c r="N4" s="276"/>
      <c r="O4" s="276"/>
      <c r="P4" s="276"/>
      <c r="Q4" s="277"/>
      <c r="R4" s="241"/>
      <c r="S4" s="241"/>
      <c r="T4" s="241"/>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26.45" hidden="1" customHeight="1" x14ac:dyDescent="0.3">
      <c r="A5" s="281" t="s">
        <v>173</v>
      </c>
      <c r="B5" s="282"/>
      <c r="C5" s="283"/>
      <c r="D5" s="278" t="s">
        <v>268</v>
      </c>
      <c r="E5" s="279"/>
      <c r="F5" s="279"/>
      <c r="G5" s="279"/>
      <c r="H5" s="279"/>
      <c r="I5" s="279"/>
      <c r="J5" s="279"/>
      <c r="K5" s="279"/>
      <c r="L5" s="279"/>
      <c r="M5" s="279"/>
      <c r="N5" s="279"/>
      <c r="O5" s="279"/>
      <c r="P5" s="279"/>
      <c r="Q5" s="280"/>
      <c r="R5" s="241"/>
      <c r="S5" s="241"/>
      <c r="T5" s="241"/>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21" hidden="1" customHeight="1" x14ac:dyDescent="0.3">
      <c r="A6" s="281" t="s">
        <v>115</v>
      </c>
      <c r="B6" s="282"/>
      <c r="C6" s="283"/>
      <c r="D6" s="263" t="s">
        <v>296</v>
      </c>
      <c r="E6" s="264"/>
      <c r="F6" s="264"/>
      <c r="G6" s="264"/>
      <c r="H6" s="264"/>
      <c r="I6" s="264"/>
      <c r="J6" s="264"/>
      <c r="K6" s="264"/>
      <c r="L6" s="264"/>
      <c r="M6" s="264"/>
      <c r="N6" s="264"/>
      <c r="O6" s="264"/>
      <c r="P6" s="264"/>
      <c r="Q6" s="265"/>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24.75" hidden="1" customHeight="1" x14ac:dyDescent="0.3">
      <c r="A7" s="281" t="s">
        <v>42</v>
      </c>
      <c r="B7" s="282"/>
      <c r="C7" s="283"/>
      <c r="D7" s="263" t="s">
        <v>297</v>
      </c>
      <c r="E7" s="264"/>
      <c r="F7" s="264"/>
      <c r="G7" s="264"/>
      <c r="H7" s="264"/>
      <c r="I7" s="264"/>
      <c r="J7" s="264"/>
      <c r="K7" s="264"/>
      <c r="L7" s="264"/>
      <c r="M7" s="264"/>
      <c r="N7" s="264"/>
      <c r="O7" s="264"/>
      <c r="P7" s="264"/>
      <c r="Q7" s="265"/>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41.45" customHeight="1" x14ac:dyDescent="0.3">
      <c r="A8" s="248" t="s">
        <v>123</v>
      </c>
      <c r="B8" s="249"/>
      <c r="C8" s="249"/>
      <c r="D8" s="249"/>
      <c r="E8" s="249"/>
      <c r="F8" s="249"/>
      <c r="G8" s="249"/>
      <c r="H8" s="249"/>
      <c r="I8" s="249"/>
      <c r="J8" s="250"/>
      <c r="K8" s="251" t="s">
        <v>124</v>
      </c>
      <c r="L8" s="252"/>
      <c r="M8" s="252"/>
      <c r="N8" s="252"/>
      <c r="O8" s="252"/>
      <c r="P8" s="252"/>
      <c r="Q8" s="253"/>
      <c r="R8" s="251" t="s">
        <v>125</v>
      </c>
      <c r="S8" s="252"/>
      <c r="T8" s="252"/>
      <c r="U8" s="252"/>
      <c r="V8" s="252"/>
      <c r="W8" s="252"/>
      <c r="X8" s="252"/>
      <c r="Y8" s="252"/>
      <c r="Z8" s="253"/>
      <c r="AA8" s="251" t="s">
        <v>126</v>
      </c>
      <c r="AB8" s="252"/>
      <c r="AC8" s="252"/>
      <c r="AD8" s="252"/>
      <c r="AE8" s="252"/>
      <c r="AF8" s="252"/>
      <c r="AG8" s="253"/>
      <c r="AH8" s="251" t="s">
        <v>33</v>
      </c>
      <c r="AI8" s="252"/>
      <c r="AJ8" s="252"/>
      <c r="AK8" s="252"/>
      <c r="AL8" s="252"/>
      <c r="AM8" s="253"/>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16.5" customHeight="1" x14ac:dyDescent="0.3">
      <c r="A9" s="255" t="s">
        <v>0</v>
      </c>
      <c r="B9" s="258" t="s">
        <v>182</v>
      </c>
      <c r="C9" s="257" t="s">
        <v>284</v>
      </c>
      <c r="D9" s="260" t="s">
        <v>2</v>
      </c>
      <c r="E9" s="257" t="s">
        <v>180</v>
      </c>
      <c r="F9" s="258" t="s">
        <v>181</v>
      </c>
      <c r="G9" s="259" t="s">
        <v>191</v>
      </c>
      <c r="H9" s="259" t="s">
        <v>1</v>
      </c>
      <c r="I9" s="257" t="s">
        <v>48</v>
      </c>
      <c r="J9" s="258" t="s">
        <v>119</v>
      </c>
      <c r="K9" s="272" t="s">
        <v>32</v>
      </c>
      <c r="L9" s="273" t="s">
        <v>4</v>
      </c>
      <c r="M9" s="257" t="s">
        <v>84</v>
      </c>
      <c r="N9" s="257" t="s">
        <v>89</v>
      </c>
      <c r="O9" s="274" t="s">
        <v>43</v>
      </c>
      <c r="P9" s="273" t="s">
        <v>4</v>
      </c>
      <c r="Q9" s="258" t="s">
        <v>46</v>
      </c>
      <c r="R9" s="261" t="s">
        <v>10</v>
      </c>
      <c r="S9" s="254" t="s">
        <v>145</v>
      </c>
      <c r="T9" s="257" t="s">
        <v>11</v>
      </c>
      <c r="U9" s="254" t="s">
        <v>7</v>
      </c>
      <c r="V9" s="254"/>
      <c r="W9" s="254"/>
      <c r="X9" s="254"/>
      <c r="Y9" s="254"/>
      <c r="Z9" s="254"/>
      <c r="AA9" s="266" t="s">
        <v>122</v>
      </c>
      <c r="AB9" s="266" t="s">
        <v>44</v>
      </c>
      <c r="AC9" s="266" t="s">
        <v>4</v>
      </c>
      <c r="AD9" s="266" t="s">
        <v>45</v>
      </c>
      <c r="AE9" s="266" t="s">
        <v>4</v>
      </c>
      <c r="AF9" s="266" t="s">
        <v>47</v>
      </c>
      <c r="AG9" s="261" t="s">
        <v>28</v>
      </c>
      <c r="AH9" s="254" t="s">
        <v>33</v>
      </c>
      <c r="AI9" s="254" t="s">
        <v>34</v>
      </c>
      <c r="AJ9" s="254" t="s">
        <v>35</v>
      </c>
      <c r="AK9" s="254" t="s">
        <v>37</v>
      </c>
      <c r="AL9" s="254" t="s">
        <v>36</v>
      </c>
      <c r="AM9" s="254"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s="4" customFormat="1" ht="94.7" customHeight="1" x14ac:dyDescent="0.25">
      <c r="A10" s="256"/>
      <c r="B10" s="254"/>
      <c r="C10" s="258"/>
      <c r="D10" s="260"/>
      <c r="E10" s="258"/>
      <c r="F10" s="254"/>
      <c r="G10" s="260"/>
      <c r="H10" s="260"/>
      <c r="I10" s="258"/>
      <c r="J10" s="254"/>
      <c r="K10" s="258"/>
      <c r="L10" s="245"/>
      <c r="M10" s="258"/>
      <c r="N10" s="258"/>
      <c r="O10" s="245"/>
      <c r="P10" s="245"/>
      <c r="Q10" s="254"/>
      <c r="R10" s="262"/>
      <c r="S10" s="254"/>
      <c r="T10" s="258"/>
      <c r="U10" s="162" t="s">
        <v>12</v>
      </c>
      <c r="V10" s="162" t="s">
        <v>16</v>
      </c>
      <c r="W10" s="162" t="s">
        <v>27</v>
      </c>
      <c r="X10" s="162" t="s">
        <v>17</v>
      </c>
      <c r="Y10" s="162" t="s">
        <v>20</v>
      </c>
      <c r="Z10" s="162" t="s">
        <v>23</v>
      </c>
      <c r="AA10" s="266"/>
      <c r="AB10" s="266"/>
      <c r="AC10" s="266"/>
      <c r="AD10" s="266"/>
      <c r="AE10" s="266"/>
      <c r="AF10" s="266"/>
      <c r="AG10" s="262"/>
      <c r="AH10" s="254"/>
      <c r="AI10" s="254"/>
      <c r="AJ10" s="254"/>
      <c r="AK10" s="254"/>
      <c r="AL10" s="254"/>
      <c r="AM10" s="25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s="3" customFormat="1" ht="68.45" customHeight="1" x14ac:dyDescent="0.25">
      <c r="A11" s="211">
        <v>1</v>
      </c>
      <c r="B11" s="214" t="s">
        <v>184</v>
      </c>
      <c r="C11" s="214" t="s">
        <v>319</v>
      </c>
      <c r="D11" s="214" t="s">
        <v>116</v>
      </c>
      <c r="E11" s="139" t="s">
        <v>298</v>
      </c>
      <c r="F11" s="214" t="s">
        <v>300</v>
      </c>
      <c r="G11" s="226" t="s">
        <v>193</v>
      </c>
      <c r="H11" s="226" t="s">
        <v>303</v>
      </c>
      <c r="I11" s="214" t="s">
        <v>216</v>
      </c>
      <c r="J11" s="238">
        <v>12</v>
      </c>
      <c r="K11" s="223" t="str">
        <f>IF(J11&lt;=0,"",IF(J11&lt;=5,"Muy Baja",IF(J11&lt;=24,"Baja",IF(J11&lt;=150,"Media",IF(J11&lt;=300,"Alta","Muy Alta")))))</f>
        <v>Baja</v>
      </c>
      <c r="L11" s="232">
        <f>IF(K11="","",IF(K11="Muy Baja",0.2,IF(K11="Baja",0.4,IF(K11="Media",0.6,IF(K11="Alta",0.8,IF(K11="Muy Alta",1,))))))</f>
        <v>0.4</v>
      </c>
      <c r="M11" s="220" t="s">
        <v>135</v>
      </c>
      <c r="N11" s="232" t="str">
        <f ca="1">IF(NOT(ISERROR(MATCH(M11,'Tabla Impacto'!$B$221:$B$223,0))),'Tabla Impacto'!$F$223&amp;"Por favor no seleccionar los criterios de impacto(Afectación Económica o presupuestal y Pérdida Reputacional)",M11)</f>
        <v xml:space="preserve">     El riesgo afecta la imagen de alguna área de la organización</v>
      </c>
      <c r="O11" s="223" t="str">
        <f ca="1">IF(OR(N11='Tabla Impacto'!$C$11,N11='Tabla Impacto'!$D$11),"Leve",IF(OR(N11='Tabla Impacto'!$C$12,N11='Tabla Impacto'!$D$12),"Menor",IF(OR(N11='Tabla Impacto'!$C$13,N11='Tabla Impacto'!$D$13),"Moderado",IF(OR(N11='Tabla Impacto'!$C$14,N11='Tabla Impacto'!$D$14),"Mayor",IF(OR(N11='Tabla Impacto'!$C$15,N11='Tabla Impacto'!$D$15),"Catastrófico","")))))</f>
        <v>Leve</v>
      </c>
      <c r="P11" s="232">
        <f ca="1">IF(O11="","",IF(O11="Leve",0.2,IF(O11="Menor",0.4,IF(O11="Moderado",0.6,IF(O11="Mayor",0.8,IF(O11="Catastrófico",1,))))))</f>
        <v>0.2</v>
      </c>
      <c r="Q11" s="235" t="str">
        <f ca="1">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Bajo</v>
      </c>
      <c r="R11" s="124">
        <v>1</v>
      </c>
      <c r="S11" s="169" t="s">
        <v>301</v>
      </c>
      <c r="T11" s="125" t="str">
        <f>IF(OR(U11="Preventivo",U11="Detectivo"),"Probabilidad",IF(U11="Correctivo","Impacto",""))</f>
        <v>Probabilidad</v>
      </c>
      <c r="U11" s="126" t="s">
        <v>13</v>
      </c>
      <c r="V11" s="126" t="s">
        <v>9</v>
      </c>
      <c r="W11" s="127" t="str">
        <f>IF(AND(U11="Preventivo",V11="Automático"),"50%",IF(AND(U11="Preventivo",V11="Manual"),"40%",IF(AND(U11="Detectivo",V11="Automático"),"40%",IF(AND(U11="Detectivo",V11="Manual"),"30%",IF(AND(U11="Correctivo",V11="Automático"),"35%",IF(AND(U11="Correctivo",V11="Manual"),"25%",""))))))</f>
        <v>50%</v>
      </c>
      <c r="X11" s="126" t="s">
        <v>18</v>
      </c>
      <c r="Y11" s="126" t="s">
        <v>21</v>
      </c>
      <c r="Z11" s="126" t="s">
        <v>111</v>
      </c>
      <c r="AA11" s="128">
        <f>IFERROR(IF(T11="Probabilidad",(L11-(+L11*W11)),IF(T11="Impacto",L11,"")),"")</f>
        <v>0.2</v>
      </c>
      <c r="AB11" s="129" t="str">
        <f>IFERROR(IF(AA11="","",IF(AA11&lt;=0.2,"Muy Baja",IF(AA11&lt;=0.4,"Baja",IF(AA11&lt;=0.6,"Media",IF(AA11&lt;=0.8,"Alta","Muy Alta"))))),"")</f>
        <v>Muy Baja</v>
      </c>
      <c r="AC11" s="130">
        <f>+AA11</f>
        <v>0.2</v>
      </c>
      <c r="AD11" s="129" t="str">
        <f ca="1">IFERROR(IF(AE11="","",IF(AE11&lt;=0.2,"Leve",IF(AE11&lt;=0.4,"Menor",IF(AE11&lt;=0.6,"Moderado",IF(AE11&lt;=0.8,"Mayor","Catastrófico"))))),"")</f>
        <v>Leve</v>
      </c>
      <c r="AE11" s="130">
        <f ca="1">IFERROR(IF(T11="Impacto",(P11-(+P11*W11)),IF(T11="Probabilidad",P11,"")),"")</f>
        <v>0.2</v>
      </c>
      <c r="AF11" s="131" t="str">
        <f ca="1">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Bajo</v>
      </c>
      <c r="AG11" s="132" t="s">
        <v>30</v>
      </c>
      <c r="AH11" s="133"/>
      <c r="AI11" s="134"/>
      <c r="AJ11" s="135"/>
      <c r="AK11" s="135"/>
      <c r="AL11" s="133"/>
      <c r="AM11" s="134"/>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68.45" customHeight="1" x14ac:dyDescent="0.3">
      <c r="A12" s="212"/>
      <c r="B12" s="215"/>
      <c r="C12" s="215"/>
      <c r="D12" s="215"/>
      <c r="E12" s="140"/>
      <c r="F12" s="215"/>
      <c r="G12" s="227"/>
      <c r="H12" s="227"/>
      <c r="I12" s="215"/>
      <c r="J12" s="239"/>
      <c r="K12" s="224"/>
      <c r="L12" s="233"/>
      <c r="M12" s="221"/>
      <c r="N12" s="233">
        <f ca="1">IF(NOT(ISERROR(MATCH(M12,_xlfn.ANCHORARRAY(H23),0))),L25&amp;"Por favor no seleccionar los criterios de impacto",M12)</f>
        <v>0</v>
      </c>
      <c r="O12" s="224"/>
      <c r="P12" s="233"/>
      <c r="Q12" s="236"/>
      <c r="R12" s="124">
        <v>2</v>
      </c>
      <c r="S12" s="169" t="s">
        <v>302</v>
      </c>
      <c r="T12" s="125" t="str">
        <f t="shared" ref="T12:T52" si="0">IF(OR(U12="Preventivo",U12="Detectivo"),"Probabilidad",IF(U12="Correctivo","Impacto",""))</f>
        <v>Probabilidad</v>
      </c>
      <c r="U12" s="126" t="s">
        <v>13</v>
      </c>
      <c r="V12" s="126" t="s">
        <v>9</v>
      </c>
      <c r="W12" s="127" t="str">
        <f t="shared" ref="W12:W16" si="1">IF(AND(U12="Preventivo",V12="Automático"),"50%",IF(AND(U12="Preventivo",V12="Manual"),"40%",IF(AND(U12="Detectivo",V12="Automático"),"40%",IF(AND(U12="Detectivo",V12="Manual"),"30%",IF(AND(U12="Correctivo",V12="Automático"),"35%",IF(AND(U12="Correctivo",V12="Manual"),"25%",""))))))</f>
        <v>50%</v>
      </c>
      <c r="X12" s="126" t="s">
        <v>18</v>
      </c>
      <c r="Y12" s="126" t="s">
        <v>21</v>
      </c>
      <c r="Z12" s="126" t="s">
        <v>111</v>
      </c>
      <c r="AA12" s="128">
        <f>IFERROR(IF(AND(T11="Probabilidad",T12="Probabilidad"),(AC11-(+AC11*W12)),IF(T12="Probabilidad",(L11-(+L11*W12)),IF(T12="Impacto",AC11,""))),"")</f>
        <v>0.1</v>
      </c>
      <c r="AB12" s="129" t="str">
        <f t="shared" ref="AB12:AB52" si="2">IFERROR(IF(AA12="","",IF(AA12&lt;=0.2,"Muy Baja",IF(AA12&lt;=0.4,"Baja",IF(AA12&lt;=0.6,"Media",IF(AA12&lt;=0.8,"Alta","Muy Alta"))))),"")</f>
        <v>Muy Baja</v>
      </c>
      <c r="AC12" s="130">
        <f t="shared" ref="AC12:AC16" si="3">+AA12</f>
        <v>0.1</v>
      </c>
      <c r="AD12" s="129" t="str">
        <f t="shared" ref="AD12:AD52" ca="1" si="4">IFERROR(IF(AE12="","",IF(AE12&lt;=0.2,"Leve",IF(AE12&lt;=0.4,"Menor",IF(AE12&lt;=0.6,"Moderado",IF(AE12&lt;=0.8,"Mayor","Catastrófico"))))),"")</f>
        <v>Leve</v>
      </c>
      <c r="AE12" s="138">
        <f ca="1">IFERROR(IF(AND(T11="Impacto",T12="Impacto"),(AE11-(+AE11*W12)),IF(T12="Impacto",(P11-(+P11*W12)),IF(T12="Probabilidad",AE11,""))),"")</f>
        <v>0.2</v>
      </c>
      <c r="AF12" s="131" t="str">
        <f t="shared" ref="AF12:AF16" ca="1"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Bajo</v>
      </c>
      <c r="AG12" s="132" t="s">
        <v>30</v>
      </c>
      <c r="AH12" s="133"/>
      <c r="AI12" s="134"/>
      <c r="AJ12" s="135"/>
      <c r="AK12" s="135"/>
      <c r="AL12" s="133"/>
      <c r="AM12" s="134"/>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68.45" customHeight="1" x14ac:dyDescent="0.3">
      <c r="A13" s="212"/>
      <c r="B13" s="215"/>
      <c r="C13" s="215"/>
      <c r="D13" s="215"/>
      <c r="E13" s="164"/>
      <c r="F13" s="215"/>
      <c r="G13" s="227"/>
      <c r="H13" s="227"/>
      <c r="I13" s="215"/>
      <c r="J13" s="239"/>
      <c r="K13" s="224"/>
      <c r="L13" s="233"/>
      <c r="M13" s="221"/>
      <c r="N13" s="233">
        <f ca="1">IF(NOT(ISERROR(MATCH(M13,_xlfn.ANCHORARRAY(H24),0))),L26&amp;"Por favor no seleccionar los criterios de impacto",M13)</f>
        <v>0</v>
      </c>
      <c r="O13" s="224"/>
      <c r="P13" s="233"/>
      <c r="Q13" s="236"/>
      <c r="R13" s="124">
        <v>3</v>
      </c>
      <c r="S13" s="136"/>
      <c r="T13" s="125" t="str">
        <f t="shared" si="0"/>
        <v/>
      </c>
      <c r="U13" s="126"/>
      <c r="V13" s="126"/>
      <c r="W13" s="127" t="str">
        <f t="shared" si="1"/>
        <v/>
      </c>
      <c r="X13" s="126"/>
      <c r="Y13" s="126"/>
      <c r="Z13" s="126"/>
      <c r="AA13" s="128" t="str">
        <f>IFERROR(IF(AND(T12="Probabilidad",T13="Probabilidad"),(AC12-(+AC12*W13)),IF(AND(T12="Impacto",T13="Probabilidad"),(AC11-(+AC11*W13)),IF(T13="Impacto",AC12,""))),"")</f>
        <v/>
      </c>
      <c r="AB13" s="129" t="str">
        <f t="shared" si="2"/>
        <v/>
      </c>
      <c r="AC13" s="130" t="str">
        <f t="shared" si="3"/>
        <v/>
      </c>
      <c r="AD13" s="129" t="str">
        <f t="shared" si="4"/>
        <v/>
      </c>
      <c r="AE13" s="138" t="str">
        <f>IFERROR(IF(AND(T12="Impacto",T13="Impacto"),(AE12-(+AE12*W13)),IF(AND(T12="Probabilidad",T13="Impacto"),(AE11-(+AE11*W13)),IF(T13="Probabilidad",AE12,""))),"")</f>
        <v/>
      </c>
      <c r="AF13" s="131" t="str">
        <f t="shared" si="5"/>
        <v/>
      </c>
      <c r="AG13" s="132"/>
      <c r="AH13" s="133"/>
      <c r="AI13" s="134"/>
      <c r="AJ13" s="135"/>
      <c r="AK13" s="135"/>
      <c r="AL13" s="133"/>
      <c r="AM13" s="134"/>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68.45" customHeight="1" x14ac:dyDescent="0.3">
      <c r="A14" s="212"/>
      <c r="B14" s="215"/>
      <c r="C14" s="215"/>
      <c r="D14" s="215"/>
      <c r="E14" s="140"/>
      <c r="F14" s="215"/>
      <c r="G14" s="227"/>
      <c r="H14" s="227"/>
      <c r="I14" s="215"/>
      <c r="J14" s="239"/>
      <c r="K14" s="224"/>
      <c r="L14" s="233"/>
      <c r="M14" s="221"/>
      <c r="N14" s="233">
        <f ca="1">IF(NOT(ISERROR(MATCH(M14,_xlfn.ANCHORARRAY(H25),0))),L27&amp;"Por favor no seleccionar los criterios de impacto",M14)</f>
        <v>0</v>
      </c>
      <c r="O14" s="224"/>
      <c r="P14" s="233"/>
      <c r="Q14" s="236"/>
      <c r="R14" s="124">
        <v>4</v>
      </c>
      <c r="S14" s="169"/>
      <c r="T14" s="125" t="str">
        <f t="shared" si="0"/>
        <v/>
      </c>
      <c r="U14" s="126"/>
      <c r="V14" s="126"/>
      <c r="W14" s="127" t="str">
        <f t="shared" si="1"/>
        <v/>
      </c>
      <c r="X14" s="126"/>
      <c r="Y14" s="126"/>
      <c r="Z14" s="126"/>
      <c r="AA14" s="128" t="str">
        <f t="shared" ref="AA14:AA16" si="6">IFERROR(IF(AND(T13="Probabilidad",T14="Probabilidad"),(AC13-(+AC13*W14)),IF(AND(T13="Impacto",T14="Probabilidad"),(AC12-(+AC12*W14)),IF(T14="Impacto",AC13,""))),"")</f>
        <v/>
      </c>
      <c r="AB14" s="129" t="str">
        <f t="shared" si="2"/>
        <v/>
      </c>
      <c r="AC14" s="130" t="str">
        <f t="shared" si="3"/>
        <v/>
      </c>
      <c r="AD14" s="129" t="str">
        <f t="shared" si="4"/>
        <v/>
      </c>
      <c r="AE14" s="138" t="str">
        <f t="shared" ref="AE14:AE16" si="7">IFERROR(IF(AND(T13="Impacto",T14="Impacto"),(AE13-(+AE13*W14)),IF(AND(T13="Probabilidad",T14="Impacto"),(AE12-(+AE12*W14)),IF(T14="Probabilidad",AE13,""))),"")</f>
        <v/>
      </c>
      <c r="AF14" s="131" t="str">
        <f>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2"/>
      <c r="AH14" s="133"/>
      <c r="AI14" s="134"/>
      <c r="AJ14" s="135"/>
      <c r="AK14" s="135"/>
      <c r="AL14" s="133"/>
      <c r="AM14" s="134"/>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68.45" customHeight="1" x14ac:dyDescent="0.3">
      <c r="A15" s="212"/>
      <c r="B15" s="215"/>
      <c r="C15" s="215"/>
      <c r="D15" s="215"/>
      <c r="E15" s="140"/>
      <c r="F15" s="215"/>
      <c r="G15" s="227"/>
      <c r="H15" s="227"/>
      <c r="I15" s="215"/>
      <c r="J15" s="239"/>
      <c r="K15" s="224"/>
      <c r="L15" s="233"/>
      <c r="M15" s="221"/>
      <c r="N15" s="233">
        <f ca="1">IF(NOT(ISERROR(MATCH(M15,_xlfn.ANCHORARRAY(H26),0))),L28&amp;"Por favor no seleccionar los criterios de impacto",M15)</f>
        <v>0</v>
      </c>
      <c r="O15" s="224"/>
      <c r="P15" s="233"/>
      <c r="Q15" s="236"/>
      <c r="R15" s="124">
        <v>5</v>
      </c>
      <c r="S15" s="169"/>
      <c r="T15" s="125" t="str">
        <f t="shared" si="0"/>
        <v/>
      </c>
      <c r="U15" s="126"/>
      <c r="V15" s="126"/>
      <c r="W15" s="127" t="str">
        <f t="shared" si="1"/>
        <v/>
      </c>
      <c r="X15" s="126"/>
      <c r="Y15" s="126"/>
      <c r="Z15" s="126"/>
      <c r="AA15" s="128" t="str">
        <f t="shared" si="6"/>
        <v/>
      </c>
      <c r="AB15" s="129" t="str">
        <f t="shared" si="2"/>
        <v/>
      </c>
      <c r="AC15" s="130" t="str">
        <f t="shared" si="3"/>
        <v/>
      </c>
      <c r="AD15" s="129" t="str">
        <f t="shared" si="4"/>
        <v/>
      </c>
      <c r="AE15" s="138" t="str">
        <f t="shared" si="7"/>
        <v/>
      </c>
      <c r="AF15" s="131" t="str">
        <f t="shared" si="5"/>
        <v/>
      </c>
      <c r="AG15" s="132"/>
      <c r="AH15" s="133"/>
      <c r="AI15" s="134"/>
      <c r="AJ15" s="135"/>
      <c r="AK15" s="135"/>
      <c r="AL15" s="133"/>
      <c r="AM15" s="134"/>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68.45" customHeight="1" x14ac:dyDescent="0.3">
      <c r="A16" s="213"/>
      <c r="B16" s="216"/>
      <c r="C16" s="216"/>
      <c r="D16" s="216"/>
      <c r="E16" s="141"/>
      <c r="F16" s="216"/>
      <c r="G16" s="228"/>
      <c r="H16" s="228"/>
      <c r="I16" s="216"/>
      <c r="J16" s="240"/>
      <c r="K16" s="225"/>
      <c r="L16" s="234"/>
      <c r="M16" s="222"/>
      <c r="N16" s="234">
        <f ca="1">IF(NOT(ISERROR(MATCH(M16,_xlfn.ANCHORARRAY(H27),0))),L29&amp;"Por favor no seleccionar los criterios de impacto",M16)</f>
        <v>0</v>
      </c>
      <c r="O16" s="225"/>
      <c r="P16" s="234"/>
      <c r="Q16" s="237"/>
      <c r="R16" s="124">
        <v>6</v>
      </c>
      <c r="S16" s="169"/>
      <c r="T16" s="125" t="str">
        <f t="shared" si="0"/>
        <v/>
      </c>
      <c r="U16" s="126"/>
      <c r="V16" s="126"/>
      <c r="W16" s="127" t="str">
        <f t="shared" si="1"/>
        <v/>
      </c>
      <c r="X16" s="126"/>
      <c r="Y16" s="126"/>
      <c r="Z16" s="126"/>
      <c r="AA16" s="128" t="str">
        <f t="shared" si="6"/>
        <v/>
      </c>
      <c r="AB16" s="129" t="str">
        <f t="shared" si="2"/>
        <v/>
      </c>
      <c r="AC16" s="130" t="str">
        <f t="shared" si="3"/>
        <v/>
      </c>
      <c r="AD16" s="129" t="str">
        <f t="shared" si="4"/>
        <v/>
      </c>
      <c r="AE16" s="138" t="str">
        <f t="shared" si="7"/>
        <v/>
      </c>
      <c r="AF16" s="131" t="str">
        <f t="shared" si="5"/>
        <v/>
      </c>
      <c r="AG16" s="132"/>
      <c r="AH16" s="133"/>
      <c r="AI16" s="134"/>
      <c r="AJ16" s="135"/>
      <c r="AK16" s="135"/>
      <c r="AL16" s="133"/>
      <c r="AM16" s="134"/>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68.45" customHeight="1" x14ac:dyDescent="0.3">
      <c r="A17" s="211">
        <v>2</v>
      </c>
      <c r="B17" s="214" t="s">
        <v>184</v>
      </c>
      <c r="C17" s="214" t="s">
        <v>319</v>
      </c>
      <c r="D17" s="214" t="s">
        <v>116</v>
      </c>
      <c r="E17" s="164" t="s">
        <v>299</v>
      </c>
      <c r="F17" s="214" t="s">
        <v>315</v>
      </c>
      <c r="G17" s="226" t="s">
        <v>194</v>
      </c>
      <c r="H17" s="226" t="s">
        <v>316</v>
      </c>
      <c r="I17" s="214" t="s">
        <v>214</v>
      </c>
      <c r="J17" s="238">
        <v>12</v>
      </c>
      <c r="K17" s="223" t="str">
        <f>IF(J17&lt;=0,"",IF(J17&lt;=2,"Muy Baja",IF(J17&lt;=24,"Baja",IF(J17&lt;=500,"Media",IF(J17&lt;=5000,"Alta","Muy Alta")))))</f>
        <v>Baja</v>
      </c>
      <c r="L17" s="232">
        <f>IF(K17="","",IF(K17="Muy Baja",0.2,IF(K17="Baja",0.4,IF(K17="Media",0.6,IF(K17="Alta",0.8,IF(K17="Muy Alta",1,))))))</f>
        <v>0.4</v>
      </c>
      <c r="M17" s="220" t="s">
        <v>135</v>
      </c>
      <c r="N17" s="232" t="str">
        <f ca="1">IF(NOT(ISERROR(MATCH(M17,'Tabla Impacto'!$B$221:$B$223,0))),'Tabla Impacto'!$F$223&amp;"Por favor no seleccionar los criterios de impacto(Afectación Económica o presupuestal y Pérdida Reputacional)",M17)</f>
        <v xml:space="preserve">     El riesgo afecta la imagen de alguna área de la organización</v>
      </c>
      <c r="O17" s="223" t="str">
        <f ca="1">IF(OR(N17='Tabla Impacto'!$C$11,N17='Tabla Impacto'!$D$11),"Leve",IF(OR(N17='Tabla Impacto'!$C$12,N17='Tabla Impacto'!$D$12),"Menor",IF(OR(N17='Tabla Impacto'!$C$13,N17='Tabla Impacto'!$D$13),"Moderado",IF(OR(N17='Tabla Impacto'!$C$14,N17='Tabla Impacto'!$D$14),"Mayor",IF(OR(N17='Tabla Impacto'!$C$15,N17='Tabla Impacto'!$D$15),"Catastrófico","")))))</f>
        <v>Leve</v>
      </c>
      <c r="P17" s="232">
        <f ca="1">IF(O17="","",IF(O17="Leve",0.2,IF(O17="Menor",0.4,IF(O17="Moderado",0.6,IF(O17="Mayor",0.8,IF(O17="Catastrófico",1,))))))</f>
        <v>0.2</v>
      </c>
      <c r="Q17" s="235" t="str">
        <f ca="1">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Bajo</v>
      </c>
      <c r="R17" s="124">
        <v>1</v>
      </c>
      <c r="S17" s="169" t="s">
        <v>320</v>
      </c>
      <c r="T17" s="125" t="str">
        <f t="shared" si="0"/>
        <v>Probabilidad</v>
      </c>
      <c r="U17" s="126" t="s">
        <v>13</v>
      </c>
      <c r="V17" s="126" t="s">
        <v>9</v>
      </c>
      <c r="W17" s="127" t="str">
        <f>IF(AND(U17="Preventivo",V17="Automático"),"50%",IF(AND(U17="Preventivo",V17="Manual"),"40%",IF(AND(U17="Detectivo",V17="Automático"),"40%",IF(AND(U17="Detectivo",V17="Manual"),"30%",IF(AND(U17="Correctivo",V17="Automático"),"35%",IF(AND(U17="Correctivo",V17="Manual"),"25%",""))))))</f>
        <v>50%</v>
      </c>
      <c r="X17" s="126" t="s">
        <v>18</v>
      </c>
      <c r="Y17" s="126" t="s">
        <v>21</v>
      </c>
      <c r="Z17" s="126" t="s">
        <v>111</v>
      </c>
      <c r="AA17" s="128">
        <f>IFERROR(IF(T17="Probabilidad",(L17-(+L17*W17)),IF(T17="Impacto",L17,"")),"")</f>
        <v>0.2</v>
      </c>
      <c r="AB17" s="129" t="str">
        <f>IFERROR(IF(AA17="","",IF(AA17&lt;=0.2,"Muy Baja",IF(AA17&lt;=0.4,"Baja",IF(AA17&lt;=0.6,"Media",IF(AA17&lt;=0.8,"Alta","Muy Alta"))))),"")</f>
        <v>Muy Baja</v>
      </c>
      <c r="AC17" s="130">
        <f>+AA17</f>
        <v>0.2</v>
      </c>
      <c r="AD17" s="129" t="str">
        <f ca="1">IFERROR(IF(AE17="","",IF(AE17&lt;=0.2,"Leve",IF(AE17&lt;=0.4,"Menor",IF(AE17&lt;=0.6,"Moderado",IF(AE17&lt;=0.8,"Mayor","Catastrófico"))))),"")</f>
        <v>Leve</v>
      </c>
      <c r="AE17" s="138">
        <f ca="1">IFERROR(IF(T17="Impacto",(P17-(+P17*W17)),IF(T17="Probabilidad",P17,"")),"")</f>
        <v>0.2</v>
      </c>
      <c r="AF17" s="131" t="str">
        <f ca="1">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Bajo</v>
      </c>
      <c r="AG17" s="132" t="s">
        <v>30</v>
      </c>
      <c r="AH17" s="133"/>
      <c r="AI17" s="134"/>
      <c r="AJ17" s="135"/>
      <c r="AK17" s="135"/>
      <c r="AL17" s="133"/>
      <c r="AM17" s="134"/>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1" ht="68.45" customHeight="1" x14ac:dyDescent="0.3">
      <c r="A18" s="212"/>
      <c r="B18" s="215"/>
      <c r="C18" s="215"/>
      <c r="D18" s="215"/>
      <c r="E18" s="164" t="s">
        <v>311</v>
      </c>
      <c r="F18" s="215"/>
      <c r="G18" s="227"/>
      <c r="H18" s="227"/>
      <c r="I18" s="215"/>
      <c r="J18" s="239"/>
      <c r="K18" s="224"/>
      <c r="L18" s="233"/>
      <c r="M18" s="221"/>
      <c r="N18" s="233">
        <f ca="1">IF(NOT(ISERROR(MATCH(M18,_xlfn.ANCHORARRAY(H29),0))),L31&amp;"Por favor no seleccionar los criterios de impacto",M18)</f>
        <v>0</v>
      </c>
      <c r="O18" s="224"/>
      <c r="P18" s="233"/>
      <c r="Q18" s="236"/>
      <c r="R18" s="124">
        <v>2</v>
      </c>
      <c r="S18" s="169" t="s">
        <v>321</v>
      </c>
      <c r="T18" s="125" t="str">
        <f t="shared" si="0"/>
        <v>Impacto</v>
      </c>
      <c r="U18" s="126" t="s">
        <v>15</v>
      </c>
      <c r="V18" s="126" t="s">
        <v>8</v>
      </c>
      <c r="W18" s="127" t="str">
        <f t="shared" ref="W18:W22" si="8">IF(AND(U18="Preventivo",V18="Automático"),"50%",IF(AND(U18="Preventivo",V18="Manual"),"40%",IF(AND(U18="Detectivo",V18="Automático"),"40%",IF(AND(U18="Detectivo",V18="Manual"),"30%",IF(AND(U18="Correctivo",V18="Automático"),"35%",IF(AND(U18="Correctivo",V18="Manual"),"25%",""))))))</f>
        <v>25%</v>
      </c>
      <c r="X18" s="126" t="s">
        <v>19</v>
      </c>
      <c r="Y18" s="126" t="s">
        <v>21</v>
      </c>
      <c r="Z18" s="126" t="s">
        <v>111</v>
      </c>
      <c r="AA18" s="128">
        <f>IFERROR(IF(AND(T17="Probabilidad",T18="Probabilidad"),(AC17-(+AC17*W18)),IF(T18="Probabilidad",(L17-(+L17*W18)),IF(T18="Impacto",AC17,""))),"")</f>
        <v>0.2</v>
      </c>
      <c r="AB18" s="129" t="str">
        <f t="shared" si="2"/>
        <v>Muy Baja</v>
      </c>
      <c r="AC18" s="130">
        <f t="shared" ref="AC18:AC22" si="9">+AA18</f>
        <v>0.2</v>
      </c>
      <c r="AD18" s="129" t="str">
        <f t="shared" ca="1" si="4"/>
        <v>Leve</v>
      </c>
      <c r="AE18" s="138">
        <f ca="1">IFERROR(IF(AND(T17="Impacto",T18="Impacto"),(AE17-(+AE17*W18)),IF(T18="Impacto",(P17-(+P17*W18)),IF(T18="Probabilidad",AE17,""))),"")</f>
        <v>0.15000000000000002</v>
      </c>
      <c r="AF18" s="131" t="str">
        <f t="shared" ref="AF18:AF19" ca="1" si="10">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Bajo</v>
      </c>
      <c r="AG18" s="132" t="s">
        <v>30</v>
      </c>
      <c r="AH18" s="133"/>
      <c r="AI18" s="134"/>
      <c r="AJ18" s="135"/>
      <c r="AK18" s="135"/>
      <c r="AL18" s="133"/>
      <c r="AM18" s="134"/>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1" ht="68.45" customHeight="1" x14ac:dyDescent="0.3">
      <c r="A19" s="212"/>
      <c r="B19" s="215"/>
      <c r="C19" s="215"/>
      <c r="D19" s="215"/>
      <c r="E19" s="164"/>
      <c r="F19" s="215"/>
      <c r="G19" s="227"/>
      <c r="H19" s="227"/>
      <c r="I19" s="215"/>
      <c r="J19" s="239"/>
      <c r="K19" s="224"/>
      <c r="L19" s="233"/>
      <c r="M19" s="221"/>
      <c r="N19" s="233">
        <f ca="1">IF(NOT(ISERROR(MATCH(M19,_xlfn.ANCHORARRAY(H30),0))),L32&amp;"Por favor no seleccionar los criterios de impacto",M19)</f>
        <v>0</v>
      </c>
      <c r="O19" s="224"/>
      <c r="P19" s="233"/>
      <c r="Q19" s="236"/>
      <c r="R19" s="124">
        <v>3</v>
      </c>
      <c r="S19" s="136" t="s">
        <v>345</v>
      </c>
      <c r="T19" s="125" t="str">
        <f t="shared" si="0"/>
        <v>Impacto</v>
      </c>
      <c r="U19" s="126" t="s">
        <v>15</v>
      </c>
      <c r="V19" s="126" t="s">
        <v>8</v>
      </c>
      <c r="W19" s="127" t="str">
        <f t="shared" si="8"/>
        <v>25%</v>
      </c>
      <c r="X19" s="126" t="s">
        <v>19</v>
      </c>
      <c r="Y19" s="126" t="s">
        <v>22</v>
      </c>
      <c r="Z19" s="126" t="s">
        <v>111</v>
      </c>
      <c r="AA19" s="128">
        <f>IFERROR(IF(AND(T18="Probabilidad",T19="Probabilidad"),(AC18-(+AC18*W19)),IF(AND(T18="Impacto",T19="Probabilidad"),(AC17-(+AC17*W19)),IF(T19="Impacto",AC18,""))),"")</f>
        <v>0.2</v>
      </c>
      <c r="AB19" s="129" t="str">
        <f t="shared" si="2"/>
        <v>Muy Baja</v>
      </c>
      <c r="AC19" s="130">
        <f t="shared" si="9"/>
        <v>0.2</v>
      </c>
      <c r="AD19" s="129" t="str">
        <f t="shared" ca="1" si="4"/>
        <v>Leve</v>
      </c>
      <c r="AE19" s="138">
        <f ca="1">IFERROR(IF(AND(T18="Impacto",T19="Impacto"),(AE18-(+AE18*W19)),IF(AND(T18="Probabilidad",T19="Impacto"),(AE17-(+AE17*W19)),IF(T19="Probabilidad",AE18,""))),"")</f>
        <v>0.11250000000000002</v>
      </c>
      <c r="AF19" s="131" t="str">
        <f t="shared" ca="1" si="10"/>
        <v>Bajo</v>
      </c>
      <c r="AG19" s="132" t="s">
        <v>30</v>
      </c>
      <c r="AH19" s="133"/>
      <c r="AI19" s="134"/>
      <c r="AJ19" s="135"/>
      <c r="AK19" s="135"/>
      <c r="AL19" s="133"/>
      <c r="AM19" s="134"/>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ht="68.45" customHeight="1" x14ac:dyDescent="0.3">
      <c r="A20" s="212"/>
      <c r="B20" s="215"/>
      <c r="C20" s="215"/>
      <c r="D20" s="215"/>
      <c r="E20" s="164"/>
      <c r="F20" s="215"/>
      <c r="G20" s="227"/>
      <c r="H20" s="227"/>
      <c r="I20" s="215"/>
      <c r="J20" s="239"/>
      <c r="K20" s="224"/>
      <c r="L20" s="233"/>
      <c r="M20" s="221"/>
      <c r="N20" s="233">
        <f ca="1">IF(NOT(ISERROR(MATCH(M20,_xlfn.ANCHORARRAY(H31),0))),L33&amp;"Por favor no seleccionar los criterios de impacto",M20)</f>
        <v>0</v>
      </c>
      <c r="O20" s="224"/>
      <c r="P20" s="233"/>
      <c r="Q20" s="236"/>
      <c r="R20" s="124">
        <v>4</v>
      </c>
      <c r="S20" s="169"/>
      <c r="T20" s="125" t="str">
        <f t="shared" si="0"/>
        <v/>
      </c>
      <c r="U20" s="126"/>
      <c r="V20" s="126"/>
      <c r="W20" s="127" t="str">
        <f t="shared" si="8"/>
        <v/>
      </c>
      <c r="X20" s="126"/>
      <c r="Y20" s="126"/>
      <c r="Z20" s="126"/>
      <c r="AA20" s="128" t="str">
        <f t="shared" ref="AA20:AA22" si="11">IFERROR(IF(AND(T19="Probabilidad",T20="Probabilidad"),(AC19-(+AC19*W20)),IF(AND(T19="Impacto",T20="Probabilidad"),(AC18-(+AC18*W20)),IF(T20="Impacto",AC19,""))),"")</f>
        <v/>
      </c>
      <c r="AB20" s="129" t="str">
        <f t="shared" si="2"/>
        <v/>
      </c>
      <c r="AC20" s="130" t="str">
        <f t="shared" si="9"/>
        <v/>
      </c>
      <c r="AD20" s="129" t="str">
        <f t="shared" si="4"/>
        <v/>
      </c>
      <c r="AE20" s="138" t="str">
        <f t="shared" ref="AE20:AE22" si="12">IFERROR(IF(AND(T19="Impacto",T20="Impacto"),(AE19-(+AE19*W20)),IF(AND(T19="Probabilidad",T20="Impacto"),(AE18-(+AE18*W20)),IF(T20="Probabilidad",AE19,""))),"")</f>
        <v/>
      </c>
      <c r="AF20" s="131" t="str">
        <f>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2"/>
      <c r="AH20" s="133"/>
      <c r="AI20" s="134"/>
      <c r="AJ20" s="135"/>
      <c r="AK20" s="135"/>
      <c r="AL20" s="133"/>
      <c r="AM20" s="134"/>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1" ht="68.45" customHeight="1" x14ac:dyDescent="0.3">
      <c r="A21" s="212"/>
      <c r="B21" s="215"/>
      <c r="C21" s="215"/>
      <c r="D21" s="215"/>
      <c r="E21" s="164"/>
      <c r="F21" s="215"/>
      <c r="G21" s="227"/>
      <c r="H21" s="227"/>
      <c r="I21" s="215"/>
      <c r="J21" s="239"/>
      <c r="K21" s="224"/>
      <c r="L21" s="233"/>
      <c r="M21" s="221"/>
      <c r="N21" s="233">
        <f ca="1">IF(NOT(ISERROR(MATCH(M21,_xlfn.ANCHORARRAY(H32),0))),L34&amp;"Por favor no seleccionar los criterios de impacto",M21)</f>
        <v>0</v>
      </c>
      <c r="O21" s="224"/>
      <c r="P21" s="233"/>
      <c r="Q21" s="236"/>
      <c r="R21" s="124">
        <v>5</v>
      </c>
      <c r="S21" s="169"/>
      <c r="T21" s="125" t="str">
        <f t="shared" si="0"/>
        <v/>
      </c>
      <c r="U21" s="126"/>
      <c r="V21" s="126"/>
      <c r="W21" s="127" t="str">
        <f t="shared" si="8"/>
        <v/>
      </c>
      <c r="X21" s="126"/>
      <c r="Y21" s="126"/>
      <c r="Z21" s="126"/>
      <c r="AA21" s="128" t="str">
        <f t="shared" si="11"/>
        <v/>
      </c>
      <c r="AB21" s="129" t="str">
        <f t="shared" si="2"/>
        <v/>
      </c>
      <c r="AC21" s="130" t="str">
        <f t="shared" si="9"/>
        <v/>
      </c>
      <c r="AD21" s="129" t="str">
        <f t="shared" si="4"/>
        <v/>
      </c>
      <c r="AE21" s="138" t="str">
        <f t="shared" si="12"/>
        <v/>
      </c>
      <c r="AF21" s="131" t="str">
        <f t="shared" ref="AF21:AF22" si="13">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32"/>
      <c r="AH21" s="133"/>
      <c r="AI21" s="134"/>
      <c r="AJ21" s="135"/>
      <c r="AK21" s="135"/>
      <c r="AL21" s="133"/>
      <c r="AM21" s="134"/>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1" ht="68.45" customHeight="1" x14ac:dyDescent="0.3">
      <c r="A22" s="213"/>
      <c r="B22" s="216"/>
      <c r="C22" s="216"/>
      <c r="D22" s="216"/>
      <c r="E22" s="165"/>
      <c r="F22" s="216"/>
      <c r="G22" s="228"/>
      <c r="H22" s="228"/>
      <c r="I22" s="216"/>
      <c r="J22" s="240"/>
      <c r="K22" s="225"/>
      <c r="L22" s="234"/>
      <c r="M22" s="222"/>
      <c r="N22" s="234">
        <f ca="1">IF(NOT(ISERROR(MATCH(M22,_xlfn.ANCHORARRAY(H33),0))),L41&amp;"Por favor no seleccionar los criterios de impacto",M22)</f>
        <v>0</v>
      </c>
      <c r="O22" s="225"/>
      <c r="P22" s="234"/>
      <c r="Q22" s="237"/>
      <c r="R22" s="124">
        <v>6</v>
      </c>
      <c r="S22" s="169"/>
      <c r="T22" s="125" t="str">
        <f t="shared" si="0"/>
        <v/>
      </c>
      <c r="U22" s="126"/>
      <c r="V22" s="126"/>
      <c r="W22" s="127" t="str">
        <f t="shared" si="8"/>
        <v/>
      </c>
      <c r="X22" s="126"/>
      <c r="Y22" s="126"/>
      <c r="Z22" s="126"/>
      <c r="AA22" s="128" t="str">
        <f t="shared" si="11"/>
        <v/>
      </c>
      <c r="AB22" s="129" t="str">
        <f t="shared" si="2"/>
        <v/>
      </c>
      <c r="AC22" s="130" t="str">
        <f t="shared" si="9"/>
        <v/>
      </c>
      <c r="AD22" s="129" t="str">
        <f t="shared" si="4"/>
        <v/>
      </c>
      <c r="AE22" s="138" t="str">
        <f t="shared" si="12"/>
        <v/>
      </c>
      <c r="AF22" s="131" t="str">
        <f t="shared" si="13"/>
        <v/>
      </c>
      <c r="AG22" s="132"/>
      <c r="AH22" s="133"/>
      <c r="AI22" s="134"/>
      <c r="AJ22" s="135"/>
      <c r="AK22" s="135"/>
      <c r="AL22" s="133"/>
      <c r="AM22" s="134"/>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71" ht="68.45" customHeight="1" x14ac:dyDescent="0.3">
      <c r="A23" s="211">
        <v>3</v>
      </c>
      <c r="B23" s="214" t="s">
        <v>185</v>
      </c>
      <c r="C23" s="214" t="s">
        <v>322</v>
      </c>
      <c r="D23" s="214" t="s">
        <v>118</v>
      </c>
      <c r="E23" s="163" t="s">
        <v>312</v>
      </c>
      <c r="F23" s="214" t="s">
        <v>318</v>
      </c>
      <c r="G23" s="226" t="s">
        <v>194</v>
      </c>
      <c r="H23" s="226" t="s">
        <v>323</v>
      </c>
      <c r="I23" s="214" t="s">
        <v>214</v>
      </c>
      <c r="J23" s="229">
        <v>12</v>
      </c>
      <c r="K23" s="223" t="str">
        <f>IF(J23&lt;=0,"",IF(J23&lt;=2,"Muy Baja",IF(J23&lt;=24,"Baja",IF(J23&lt;=500,"Media",IF(J23&lt;=5000,"Alta","Muy Alta")))))</f>
        <v>Baja</v>
      </c>
      <c r="L23" s="232">
        <f>IF(K23="","",IF(K23="Muy Baja",0.2,IF(K23="Baja",0.4,IF(K23="Media",0.6,IF(K23="Alta",0.8,IF(K23="Muy Alta",1,))))))</f>
        <v>0.4</v>
      </c>
      <c r="M23" s="220" t="s">
        <v>131</v>
      </c>
      <c r="N23" s="232" t="str">
        <f ca="1">IF(NOT(ISERROR(MATCH(M23,'Tabla Impacto'!$B$221:$B$223,0))),'Tabla Impacto'!$F$223&amp;"Por favor no seleccionar los criterios de impacto(Afectación Económica o presupuestal y Pérdida Reputacional)",M23)</f>
        <v xml:space="preserve">     Entre 50 y 100 SMLMV </v>
      </c>
      <c r="O23" s="223" t="str">
        <f ca="1">IF(OR(N23='Tabla Impacto'!$C$11,N23='Tabla Impacto'!$D$11),"Leve",IF(OR(N23='Tabla Impacto'!$C$12,N23='Tabla Impacto'!$D$12),"Menor",IF(OR(N23='Tabla Impacto'!$C$13,N23='Tabla Impacto'!$D$13),"Moderado",IF(OR(N23='Tabla Impacto'!$C$14,N23='Tabla Impacto'!$D$14),"Mayor",IF(OR(N23='Tabla Impacto'!$C$15,N23='Tabla Impacto'!$D$15),"Catastrófico","")))))</f>
        <v>Moderado</v>
      </c>
      <c r="P23" s="232">
        <f ca="1">IF(O23="","",IF(O23="Leve",0.2,IF(O23="Menor",0.4,IF(O23="Moderado",0.6,IF(O23="Mayor",0.8,IF(O23="Catastrófico",1,))))))</f>
        <v>0.6</v>
      </c>
      <c r="Q23" s="235" t="str">
        <f ca="1">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c r="R23" s="124">
        <v>1</v>
      </c>
      <c r="S23" s="169" t="s">
        <v>324</v>
      </c>
      <c r="T23" s="125" t="str">
        <f t="shared" ref="T23:T46" si="14">IF(OR(U23="Preventivo",U23="Detectivo"),"Probabilidad",IF(U23="Correctivo","Impacto",""))</f>
        <v>Probabilidad</v>
      </c>
      <c r="U23" s="126" t="s">
        <v>13</v>
      </c>
      <c r="V23" s="126" t="s">
        <v>9</v>
      </c>
      <c r="W23" s="127" t="str">
        <f>IF(AND(U23="Preventivo",V23="Automático"),"50%",IF(AND(U23="Preventivo",V23="Manual"),"40%",IF(AND(U23="Detectivo",V23="Automático"),"40%",IF(AND(U23="Detectivo",V23="Manual"),"30%",IF(AND(U23="Correctivo",V23="Automático"),"35%",IF(AND(U23="Correctivo",V23="Manual"),"25%",""))))))</f>
        <v>50%</v>
      </c>
      <c r="X23" s="126" t="s">
        <v>18</v>
      </c>
      <c r="Y23" s="126" t="s">
        <v>21</v>
      </c>
      <c r="Z23" s="126" t="s">
        <v>111</v>
      </c>
      <c r="AA23" s="128">
        <f>IFERROR(IF(T23="Probabilidad",(L23-(+L23*W23)),IF(T23="Impacto",L23,"")),"")</f>
        <v>0.2</v>
      </c>
      <c r="AB23" s="129" t="str">
        <f>IFERROR(IF(AA23="","",IF(AA23&lt;=0.2,"Muy Baja",IF(AA23&lt;=0.4,"Baja",IF(AA23&lt;=0.6,"Media",IF(AA23&lt;=0.8,"Alta","Muy Alta"))))),"")</f>
        <v>Muy Baja</v>
      </c>
      <c r="AC23" s="130">
        <f>+AA23</f>
        <v>0.2</v>
      </c>
      <c r="AD23" s="129" t="str">
        <f ca="1">IFERROR(IF(AE23="","",IF(AE23&lt;=0.2,"Leve",IF(AE23&lt;=0.4,"Menor",IF(AE23&lt;=0.6,"Moderado",IF(AE23&lt;=0.8,"Mayor","Catastrófico"))))),"")</f>
        <v>Moderado</v>
      </c>
      <c r="AE23" s="138">
        <f ca="1">IFERROR(IF(T23="Impacto",(P23-(+P23*W23)),IF(T23="Probabilidad",P23,"")),"")</f>
        <v>0.6</v>
      </c>
      <c r="AF23" s="131" t="str">
        <f ca="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Moderado</v>
      </c>
      <c r="AG23" s="132" t="s">
        <v>30</v>
      </c>
      <c r="AH23" s="133"/>
      <c r="AI23" s="134"/>
      <c r="AJ23" s="135"/>
      <c r="AK23" s="135"/>
      <c r="AL23" s="133"/>
      <c r="AM23" s="134"/>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1:71" ht="68.45" customHeight="1" x14ac:dyDescent="0.3">
      <c r="A24" s="212"/>
      <c r="B24" s="215"/>
      <c r="C24" s="215"/>
      <c r="D24" s="215"/>
      <c r="E24" s="164"/>
      <c r="F24" s="215"/>
      <c r="G24" s="227"/>
      <c r="H24" s="227"/>
      <c r="I24" s="215"/>
      <c r="J24" s="230"/>
      <c r="K24" s="224"/>
      <c r="L24" s="233"/>
      <c r="M24" s="221"/>
      <c r="N24" s="233">
        <f ca="1">IF(NOT(ISERROR(MATCH(M24,_xlfn.ANCHORARRAY(#REF!),0))),#REF!&amp;"Por favor no seleccionar los criterios de impacto",M24)</f>
        <v>0</v>
      </c>
      <c r="O24" s="224"/>
      <c r="P24" s="233"/>
      <c r="Q24" s="236"/>
      <c r="R24" s="124">
        <v>2</v>
      </c>
      <c r="S24" s="169" t="s">
        <v>339</v>
      </c>
      <c r="T24" s="125" t="str">
        <f t="shared" si="14"/>
        <v>Impacto</v>
      </c>
      <c r="U24" s="126" t="s">
        <v>15</v>
      </c>
      <c r="V24" s="126" t="s">
        <v>8</v>
      </c>
      <c r="W24" s="127" t="str">
        <f t="shared" ref="W24:W25" si="15">IF(AND(U24="Preventivo",V24="Automático"),"50%",IF(AND(U24="Preventivo",V24="Manual"),"40%",IF(AND(U24="Detectivo",V24="Automático"),"40%",IF(AND(U24="Detectivo",V24="Manual"),"30%",IF(AND(U24="Correctivo",V24="Automático"),"35%",IF(AND(U24="Correctivo",V24="Manual"),"25%",""))))))</f>
        <v>25%</v>
      </c>
      <c r="X24" s="126" t="s">
        <v>19</v>
      </c>
      <c r="Y24" s="126" t="s">
        <v>21</v>
      </c>
      <c r="Z24" s="126" t="s">
        <v>111</v>
      </c>
      <c r="AA24" s="128">
        <f>IFERROR(IF(AND(T23="Probabilidad",T24="Probabilidad"),(AC23-(+AC23*W24)),IF(T24="Probabilidad",(L23-(+L23*W24)),IF(T24="Impacto",AC23,""))),"")</f>
        <v>0.2</v>
      </c>
      <c r="AB24" s="129" t="str">
        <f t="shared" ref="AB24:AB28" si="16">IFERROR(IF(AA24="","",IF(AA24&lt;=0.2,"Muy Baja",IF(AA24&lt;=0.4,"Baja",IF(AA24&lt;=0.6,"Media",IF(AA24&lt;=0.8,"Alta","Muy Alta"))))),"")</f>
        <v>Muy Baja</v>
      </c>
      <c r="AC24" s="130">
        <f t="shared" ref="AC24:AC28" si="17">+AA24</f>
        <v>0.2</v>
      </c>
      <c r="AD24" s="129" t="str">
        <f t="shared" ref="AD24:AD28" ca="1" si="18">IFERROR(IF(AE24="","",IF(AE24&lt;=0.2,"Leve",IF(AE24&lt;=0.4,"Menor",IF(AE24&lt;=0.6,"Moderado",IF(AE24&lt;=0.8,"Mayor","Catastrófico"))))),"")</f>
        <v>Moderado</v>
      </c>
      <c r="AE24" s="138">
        <f ca="1">IFERROR(IF(AND(T23="Impacto",T24="Impacto"),(AE23-(+AE23*W24)),IF(T24="Impacto",(P23-(+P23*W24)),IF(T24="Probabilidad",AE23,""))),"")</f>
        <v>0.44999999999999996</v>
      </c>
      <c r="AF24" s="131" t="str">
        <f t="shared" ref="AF24:AF25" ca="1" si="19">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Moderado</v>
      </c>
      <c r="AG24" s="132" t="s">
        <v>30</v>
      </c>
      <c r="AH24" s="133"/>
      <c r="AI24" s="134"/>
      <c r="AJ24" s="135"/>
      <c r="AK24" s="135"/>
      <c r="AL24" s="133"/>
      <c r="AM24" s="134"/>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row>
    <row r="25" spans="1:71" ht="68.45" customHeight="1" x14ac:dyDescent="0.3">
      <c r="A25" s="212"/>
      <c r="B25" s="215"/>
      <c r="C25" s="215"/>
      <c r="D25" s="215"/>
      <c r="E25" s="164"/>
      <c r="F25" s="215"/>
      <c r="G25" s="227"/>
      <c r="H25" s="227"/>
      <c r="I25" s="215"/>
      <c r="J25" s="230"/>
      <c r="K25" s="224"/>
      <c r="L25" s="233"/>
      <c r="M25" s="221"/>
      <c r="N25" s="233">
        <f ca="1">IF(NOT(ISERROR(MATCH(M25,_xlfn.ANCHORARRAY(#REF!),0))),#REF!&amp;"Por favor no seleccionar los criterios de impacto",M25)</f>
        <v>0</v>
      </c>
      <c r="O25" s="224"/>
      <c r="P25" s="233"/>
      <c r="Q25" s="236"/>
      <c r="R25" s="124">
        <v>3</v>
      </c>
      <c r="S25" s="136" t="s">
        <v>325</v>
      </c>
      <c r="T25" s="125" t="str">
        <f t="shared" si="14"/>
        <v>Impacto</v>
      </c>
      <c r="U25" s="126" t="s">
        <v>15</v>
      </c>
      <c r="V25" s="126" t="s">
        <v>8</v>
      </c>
      <c r="W25" s="127" t="str">
        <f t="shared" si="15"/>
        <v>25%</v>
      </c>
      <c r="X25" s="126" t="s">
        <v>19</v>
      </c>
      <c r="Y25" s="126" t="s">
        <v>22</v>
      </c>
      <c r="Z25" s="126" t="s">
        <v>111</v>
      </c>
      <c r="AA25" s="128">
        <f>IFERROR(IF(AND(T24="Probabilidad",T25="Probabilidad"),(AC24-(+AC24*W25)),IF(AND(T24="Impacto",T25="Probabilidad"),(AC23-(+AC23*W25)),IF(T25="Impacto",AC24,""))),"")</f>
        <v>0.2</v>
      </c>
      <c r="AB25" s="129" t="str">
        <f t="shared" si="16"/>
        <v>Muy Baja</v>
      </c>
      <c r="AC25" s="130">
        <f t="shared" si="17"/>
        <v>0.2</v>
      </c>
      <c r="AD25" s="129" t="str">
        <f t="shared" ca="1" si="18"/>
        <v>Menor</v>
      </c>
      <c r="AE25" s="138">
        <f ca="1">IFERROR(IF(AND(T24="Impacto",T25="Impacto"),(AE24-(+AE24*W25)),IF(AND(T24="Probabilidad",T25="Impacto"),(AE23-(+AE23*W25)),IF(T25="Probabilidad",AE24,""))),"")</f>
        <v>0.33749999999999997</v>
      </c>
      <c r="AF25" s="131" t="str">
        <f t="shared" ca="1" si="19"/>
        <v>Bajo</v>
      </c>
      <c r="AG25" s="132" t="s">
        <v>30</v>
      </c>
      <c r="AH25" s="133"/>
      <c r="AI25" s="134"/>
      <c r="AJ25" s="135"/>
      <c r="AK25" s="135"/>
      <c r="AL25" s="133"/>
      <c r="AM25" s="134"/>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row>
    <row r="26" spans="1:71" ht="68.45" customHeight="1" x14ac:dyDescent="0.3">
      <c r="A26" s="212"/>
      <c r="B26" s="215"/>
      <c r="C26" s="215"/>
      <c r="D26" s="215"/>
      <c r="E26" s="164"/>
      <c r="F26" s="215"/>
      <c r="G26" s="227"/>
      <c r="H26" s="227"/>
      <c r="I26" s="215"/>
      <c r="J26" s="230"/>
      <c r="K26" s="224"/>
      <c r="L26" s="233"/>
      <c r="M26" s="221"/>
      <c r="N26" s="233">
        <f ca="1">IF(NOT(ISERROR(MATCH(M26,_xlfn.ANCHORARRAY(#REF!),0))),#REF!&amp;"Por favor no seleccionar los criterios de impacto",M26)</f>
        <v>0</v>
      </c>
      <c r="O26" s="224"/>
      <c r="P26" s="233"/>
      <c r="Q26" s="236"/>
      <c r="R26" s="124">
        <v>4</v>
      </c>
      <c r="S26" s="170" t="s">
        <v>314</v>
      </c>
      <c r="T26" s="125" t="str">
        <f t="shared" si="14"/>
        <v>Probabilidad</v>
      </c>
      <c r="U26" s="126" t="s">
        <v>13</v>
      </c>
      <c r="V26" s="126" t="s">
        <v>8</v>
      </c>
      <c r="W26" s="127" t="str">
        <f t="shared" ref="W26:W28" si="20">IF(AND(U26="Preventivo",V26="Automático"),"50%",IF(AND(U26="Preventivo",V26="Manual"),"40%",IF(AND(U26="Detectivo",V26="Automático"),"40%",IF(AND(U26="Detectivo",V26="Manual"),"30%",IF(AND(U26="Correctivo",V26="Automático"),"35%",IF(AND(U26="Correctivo",V26="Manual"),"25%",""))))))</f>
        <v>40%</v>
      </c>
      <c r="X26" s="126"/>
      <c r="Y26" s="126"/>
      <c r="Z26" s="126"/>
      <c r="AA26" s="128">
        <f t="shared" ref="AA26:AA28" si="21">IFERROR(IF(AND(T25="Probabilidad",T26="Probabilidad"),(AC25-(+AC25*W26)),IF(AND(T25="Impacto",T26="Probabilidad"),(AC24-(+AC24*W26)),IF(T26="Impacto",AC25,""))),"")</f>
        <v>0.12</v>
      </c>
      <c r="AB26" s="129" t="str">
        <f t="shared" si="16"/>
        <v>Muy Baja</v>
      </c>
      <c r="AC26" s="130">
        <f t="shared" si="17"/>
        <v>0.12</v>
      </c>
      <c r="AD26" s="129" t="str">
        <f t="shared" ca="1" si="18"/>
        <v>Menor</v>
      </c>
      <c r="AE26" s="138">
        <f t="shared" ref="AE26:AE28" ca="1" si="22">IFERROR(IF(AND(T25="Impacto",T26="Impacto"),(AE25-(+AE25*W26)),IF(AND(T25="Probabilidad",T26="Impacto"),(AE24-(+AE24*W26)),IF(T26="Probabilidad",AE25,""))),"")</f>
        <v>0.33749999999999997</v>
      </c>
      <c r="AF26" s="131" t="str">
        <f ca="1">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Bajo</v>
      </c>
      <c r="AG26" s="132" t="s">
        <v>30</v>
      </c>
      <c r="AH26" s="133"/>
      <c r="AI26" s="134"/>
      <c r="AJ26" s="135"/>
      <c r="AK26" s="135"/>
      <c r="AL26" s="133"/>
      <c r="AM26" s="134"/>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1" ht="68.45" customHeight="1" x14ac:dyDescent="0.3">
      <c r="A27" s="212"/>
      <c r="B27" s="215"/>
      <c r="C27" s="215"/>
      <c r="D27" s="215"/>
      <c r="E27" s="164"/>
      <c r="F27" s="215"/>
      <c r="G27" s="227"/>
      <c r="H27" s="227"/>
      <c r="I27" s="215"/>
      <c r="J27" s="230"/>
      <c r="K27" s="224"/>
      <c r="L27" s="233"/>
      <c r="M27" s="221"/>
      <c r="N27" s="233">
        <f ca="1">IF(NOT(ISERROR(MATCH(M27,_xlfn.ANCHORARRAY(#REF!),0))),#REF!&amp;"Por favor no seleccionar los criterios de impacto",M27)</f>
        <v>0</v>
      </c>
      <c r="O27" s="224"/>
      <c r="P27" s="233"/>
      <c r="Q27" s="236"/>
      <c r="R27" s="124">
        <v>5</v>
      </c>
      <c r="S27" s="136" t="s">
        <v>346</v>
      </c>
      <c r="T27" s="125" t="str">
        <f t="shared" si="14"/>
        <v>Impacto</v>
      </c>
      <c r="U27" s="126" t="s">
        <v>15</v>
      </c>
      <c r="V27" s="126" t="s">
        <v>8</v>
      </c>
      <c r="W27" s="127" t="str">
        <f t="shared" si="20"/>
        <v>25%</v>
      </c>
      <c r="X27" s="126" t="s">
        <v>19</v>
      </c>
      <c r="Y27" s="126" t="s">
        <v>22</v>
      </c>
      <c r="Z27" s="126" t="s">
        <v>111</v>
      </c>
      <c r="AA27" s="128">
        <f t="shared" si="21"/>
        <v>0.12</v>
      </c>
      <c r="AB27" s="129" t="str">
        <f t="shared" si="16"/>
        <v>Muy Baja</v>
      </c>
      <c r="AC27" s="130">
        <f t="shared" si="17"/>
        <v>0.12</v>
      </c>
      <c r="AD27" s="129" t="str">
        <f t="shared" ca="1" si="18"/>
        <v>Menor</v>
      </c>
      <c r="AE27" s="138">
        <f t="shared" ca="1" si="22"/>
        <v>0.25312499999999999</v>
      </c>
      <c r="AF27" s="131" t="str">
        <f t="shared" ref="AF27:AF28" ca="1" si="23">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Bajo</v>
      </c>
      <c r="AG27" s="132" t="s">
        <v>30</v>
      </c>
      <c r="AH27" s="133"/>
      <c r="AI27" s="134"/>
      <c r="AJ27" s="135"/>
      <c r="AK27" s="135"/>
      <c r="AL27" s="133"/>
      <c r="AM27" s="134"/>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71" ht="68.45" customHeight="1" x14ac:dyDescent="0.3">
      <c r="A28" s="213"/>
      <c r="B28" s="216"/>
      <c r="C28" s="216"/>
      <c r="D28" s="216"/>
      <c r="E28" s="165"/>
      <c r="F28" s="216"/>
      <c r="G28" s="228"/>
      <c r="H28" s="228"/>
      <c r="I28" s="216"/>
      <c r="J28" s="231"/>
      <c r="K28" s="225"/>
      <c r="L28" s="234"/>
      <c r="M28" s="222"/>
      <c r="N28" s="234">
        <f ca="1">IF(NOT(ISERROR(MATCH(M28,_xlfn.ANCHORARRAY(#REF!),0))),#REF!&amp;"Por favor no seleccionar los criterios de impacto",M28)</f>
        <v>0</v>
      </c>
      <c r="O28" s="225"/>
      <c r="P28" s="234"/>
      <c r="Q28" s="237"/>
      <c r="R28" s="124">
        <v>6</v>
      </c>
      <c r="S28" s="169"/>
      <c r="T28" s="125" t="str">
        <f t="shared" si="14"/>
        <v/>
      </c>
      <c r="U28" s="126"/>
      <c r="V28" s="126"/>
      <c r="W28" s="127" t="str">
        <f t="shared" si="20"/>
        <v/>
      </c>
      <c r="X28" s="126"/>
      <c r="Y28" s="126"/>
      <c r="Z28" s="126"/>
      <c r="AA28" s="128" t="str">
        <f t="shared" si="21"/>
        <v/>
      </c>
      <c r="AB28" s="129" t="str">
        <f t="shared" si="16"/>
        <v/>
      </c>
      <c r="AC28" s="130" t="str">
        <f t="shared" si="17"/>
        <v/>
      </c>
      <c r="AD28" s="129" t="str">
        <f t="shared" si="18"/>
        <v/>
      </c>
      <c r="AE28" s="138" t="str">
        <f t="shared" si="22"/>
        <v/>
      </c>
      <c r="AF28" s="131" t="str">
        <f t="shared" si="23"/>
        <v/>
      </c>
      <c r="AG28" s="132"/>
      <c r="AH28" s="133"/>
      <c r="AI28" s="134"/>
      <c r="AJ28" s="135"/>
      <c r="AK28" s="135"/>
      <c r="AL28" s="133"/>
      <c r="AM28" s="134"/>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1" ht="68.45" customHeight="1" x14ac:dyDescent="0.3">
      <c r="A29" s="211">
        <v>4</v>
      </c>
      <c r="B29" s="214" t="s">
        <v>186</v>
      </c>
      <c r="C29" s="214" t="s">
        <v>322</v>
      </c>
      <c r="D29" s="214" t="s">
        <v>118</v>
      </c>
      <c r="E29" s="163" t="s">
        <v>327</v>
      </c>
      <c r="F29" s="214" t="s">
        <v>326</v>
      </c>
      <c r="G29" s="226" t="s">
        <v>194</v>
      </c>
      <c r="H29" s="217" t="s">
        <v>328</v>
      </c>
      <c r="I29" s="214" t="s">
        <v>214</v>
      </c>
      <c r="J29" s="229">
        <v>12</v>
      </c>
      <c r="K29" s="223" t="str">
        <f>IF(J29&lt;=0,"",IF(J29&lt;=2,"Muy Baja",IF(J29&lt;=24,"Baja",IF(J29&lt;=500,"Media",IF(J29&lt;=5000,"Alta","Muy Alta")))))</f>
        <v>Baja</v>
      </c>
      <c r="L29" s="232">
        <f>IF(K29="","",IF(K29="Muy Baja",0.2,IF(K29="Baja",0.4,IF(K29="Media",0.6,IF(K29="Alta",0.8,IF(K29="Muy Alta",1,))))))</f>
        <v>0.4</v>
      </c>
      <c r="M29" s="220" t="s">
        <v>132</v>
      </c>
      <c r="N29" s="232" t="str">
        <f ca="1">IF(NOT(ISERROR(MATCH(M29,'Tabla Impacto'!$B$221:$B$223,0))),'Tabla Impacto'!$F$223&amp;"Por favor no seleccionar los criterios de impacto(Afectación Económica o presupuestal y Pérdida Reputacional)",M29)</f>
        <v xml:space="preserve">     Entre 10 y 50 SMLMV </v>
      </c>
      <c r="O29" s="223" t="str">
        <f ca="1">IF(OR(N29='Tabla Impacto'!$C$11,N29='Tabla Impacto'!$D$11),"Leve",IF(OR(N29='Tabla Impacto'!$C$12,N29='Tabla Impacto'!$D$12),"Menor",IF(OR(N29='Tabla Impacto'!$C$13,N29='Tabla Impacto'!$D$13),"Moderado",IF(OR(N29='Tabla Impacto'!$C$14,N29='Tabla Impacto'!$D$14),"Mayor",IF(OR(N29='Tabla Impacto'!$C$15,N29='Tabla Impacto'!$D$15),"Catastrófico","")))))</f>
        <v>Menor</v>
      </c>
      <c r="P29" s="232">
        <f ca="1">IF(O29="","",IF(O29="Leve",0.2,IF(O29="Menor",0.4,IF(O29="Moderado",0.6,IF(O29="Mayor",0.8,IF(O29="Catastrófico",1,))))))</f>
        <v>0.4</v>
      </c>
      <c r="Q29" s="235" t="str">
        <f ca="1">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Moderado</v>
      </c>
      <c r="R29" s="124">
        <v>1</v>
      </c>
      <c r="S29" s="169" t="s">
        <v>324</v>
      </c>
      <c r="T29" s="125" t="str">
        <f t="shared" ref="T29:T32" si="24">IF(OR(U29="Preventivo",U29="Detectivo"),"Probabilidad",IF(U29="Correctivo","Impacto",""))</f>
        <v>Probabilidad</v>
      </c>
      <c r="U29" s="126" t="s">
        <v>13</v>
      </c>
      <c r="V29" s="126" t="s">
        <v>9</v>
      </c>
      <c r="W29" s="127" t="str">
        <f>IF(AND(U29="Preventivo",V29="Automático"),"50%",IF(AND(U29="Preventivo",V29="Manual"),"40%",IF(AND(U29="Detectivo",V29="Automático"),"40%",IF(AND(U29="Detectivo",V29="Manual"),"30%",IF(AND(U29="Correctivo",V29="Automático"),"35%",IF(AND(U29="Correctivo",V29="Manual"),"25%",""))))))</f>
        <v>50%</v>
      </c>
      <c r="X29" s="126" t="s">
        <v>18</v>
      </c>
      <c r="Y29" s="126" t="s">
        <v>21</v>
      </c>
      <c r="Z29" s="126" t="s">
        <v>111</v>
      </c>
      <c r="AA29" s="128">
        <f>IFERROR(IF(T29="Probabilidad",(L29-(+L29*W29)),IF(T29="Impacto",L29,"")),"")</f>
        <v>0.2</v>
      </c>
      <c r="AB29" s="129" t="str">
        <f>IFERROR(IF(AA29="","",IF(AA29&lt;=0.2,"Muy Baja",IF(AA29&lt;=0.4,"Baja",IF(AA29&lt;=0.6,"Media",IF(AA29&lt;=0.8,"Alta","Muy Alta"))))),"")</f>
        <v>Muy Baja</v>
      </c>
      <c r="AC29" s="130">
        <f>+AA29</f>
        <v>0.2</v>
      </c>
      <c r="AD29" s="129" t="str">
        <f ca="1">IFERROR(IF(AE29="","",IF(AE29&lt;=0.2,"Leve",IF(AE29&lt;=0.4,"Menor",IF(AE29&lt;=0.6,"Moderado",IF(AE29&lt;=0.8,"Mayor","Catastrófico"))))),"")</f>
        <v>Menor</v>
      </c>
      <c r="AE29" s="138">
        <f ca="1">IFERROR(IF(T29="Impacto",(P29-(+P29*W29)),IF(T29="Probabilidad",P29,"")),"")</f>
        <v>0.4</v>
      </c>
      <c r="AF29" s="131" t="str">
        <f ca="1">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Bajo</v>
      </c>
      <c r="AG29" s="132" t="s">
        <v>30</v>
      </c>
      <c r="AH29" s="133"/>
      <c r="AI29" s="134"/>
      <c r="AJ29" s="135"/>
      <c r="AK29" s="135"/>
      <c r="AL29" s="133"/>
      <c r="AM29" s="134"/>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1" ht="68.45" customHeight="1" x14ac:dyDescent="0.3">
      <c r="A30" s="212"/>
      <c r="B30" s="215"/>
      <c r="C30" s="215"/>
      <c r="D30" s="215"/>
      <c r="E30" s="164"/>
      <c r="F30" s="215"/>
      <c r="G30" s="227"/>
      <c r="H30" s="218"/>
      <c r="I30" s="215"/>
      <c r="J30" s="230"/>
      <c r="K30" s="224"/>
      <c r="L30" s="233"/>
      <c r="M30" s="221"/>
      <c r="N30" s="233">
        <f ca="1">IF(NOT(ISERROR(MATCH(M30,_xlfn.ANCHORARRAY(#REF!),0))),#REF!&amp;"Por favor no seleccionar los criterios de impacto",M30)</f>
        <v>0</v>
      </c>
      <c r="O30" s="224"/>
      <c r="P30" s="233"/>
      <c r="Q30" s="236"/>
      <c r="R30" s="124">
        <v>2</v>
      </c>
      <c r="S30" s="169" t="s">
        <v>339</v>
      </c>
      <c r="T30" s="125" t="str">
        <f t="shared" si="24"/>
        <v>Impacto</v>
      </c>
      <c r="U30" s="126" t="s">
        <v>15</v>
      </c>
      <c r="V30" s="126" t="s">
        <v>8</v>
      </c>
      <c r="W30" s="127" t="str">
        <f t="shared" ref="W30:W32" si="25">IF(AND(U30="Preventivo",V30="Automático"),"50%",IF(AND(U30="Preventivo",V30="Manual"),"40%",IF(AND(U30="Detectivo",V30="Automático"),"40%",IF(AND(U30="Detectivo",V30="Manual"),"30%",IF(AND(U30="Correctivo",V30="Automático"),"35%",IF(AND(U30="Correctivo",V30="Manual"),"25%",""))))))</f>
        <v>25%</v>
      </c>
      <c r="X30" s="126" t="s">
        <v>19</v>
      </c>
      <c r="Y30" s="126" t="s">
        <v>21</v>
      </c>
      <c r="Z30" s="126" t="s">
        <v>111</v>
      </c>
      <c r="AA30" s="128">
        <f>IFERROR(IF(AND(T29="Probabilidad",T30="Probabilidad"),(AC29-(+AC29*W30)),IF(T30="Probabilidad",(L29-(+L29*W30)),IF(T30="Impacto",AC29,""))),"")</f>
        <v>0.2</v>
      </c>
      <c r="AB30" s="129" t="str">
        <f t="shared" ref="AB30:AB34" si="26">IFERROR(IF(AA30="","",IF(AA30&lt;=0.2,"Muy Baja",IF(AA30&lt;=0.4,"Baja",IF(AA30&lt;=0.6,"Media",IF(AA30&lt;=0.8,"Alta","Muy Alta"))))),"")</f>
        <v>Muy Baja</v>
      </c>
      <c r="AC30" s="130">
        <f t="shared" ref="AC30:AC34" si="27">+AA30</f>
        <v>0.2</v>
      </c>
      <c r="AD30" s="129" t="str">
        <f t="shared" ref="AD30:AD33" ca="1" si="28">IFERROR(IF(AE30="","",IF(AE30&lt;=0.2,"Leve",IF(AE30&lt;=0.4,"Menor",IF(AE30&lt;=0.6,"Moderado",IF(AE30&lt;=0.8,"Mayor","Catastrófico"))))),"")</f>
        <v>Menor</v>
      </c>
      <c r="AE30" s="138">
        <f ca="1">IFERROR(IF(AND(T29="Impacto",T30="Impacto"),(AE29-(+AE29*W30)),IF(T30="Impacto",(P29-(+P29*W30)),IF(T30="Probabilidad",AE29,""))),"")</f>
        <v>0.30000000000000004</v>
      </c>
      <c r="AF30" s="131" t="str">
        <f t="shared" ref="AF30:AF31" ca="1" si="29">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Bajo</v>
      </c>
      <c r="AG30" s="132" t="s">
        <v>30</v>
      </c>
      <c r="AH30" s="133"/>
      <c r="AI30" s="134"/>
      <c r="AJ30" s="135"/>
      <c r="AK30" s="135"/>
      <c r="AL30" s="133"/>
      <c r="AM30" s="134"/>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row>
    <row r="31" spans="1:71" ht="68.45" customHeight="1" x14ac:dyDescent="0.3">
      <c r="A31" s="212"/>
      <c r="B31" s="215"/>
      <c r="C31" s="215"/>
      <c r="D31" s="215"/>
      <c r="E31" s="164"/>
      <c r="F31" s="215"/>
      <c r="G31" s="227"/>
      <c r="H31" s="218"/>
      <c r="I31" s="215"/>
      <c r="J31" s="230"/>
      <c r="K31" s="224"/>
      <c r="L31" s="233"/>
      <c r="M31" s="221"/>
      <c r="N31" s="233">
        <f ca="1">IF(NOT(ISERROR(MATCH(M31,_xlfn.ANCHORARRAY(#REF!),0))),#REF!&amp;"Por favor no seleccionar los criterios de impacto",M31)</f>
        <v>0</v>
      </c>
      <c r="O31" s="224"/>
      <c r="P31" s="233"/>
      <c r="Q31" s="236"/>
      <c r="R31" s="124">
        <v>3</v>
      </c>
      <c r="S31" s="136" t="s">
        <v>325</v>
      </c>
      <c r="T31" s="125" t="str">
        <f t="shared" si="24"/>
        <v>Impacto</v>
      </c>
      <c r="U31" s="126" t="s">
        <v>15</v>
      </c>
      <c r="V31" s="126" t="s">
        <v>8</v>
      </c>
      <c r="W31" s="127" t="str">
        <f t="shared" si="25"/>
        <v>25%</v>
      </c>
      <c r="X31" s="126" t="s">
        <v>19</v>
      </c>
      <c r="Y31" s="126" t="s">
        <v>22</v>
      </c>
      <c r="Z31" s="126" t="s">
        <v>111</v>
      </c>
      <c r="AA31" s="128">
        <f>IFERROR(IF(AND(T30="Probabilidad",T31="Probabilidad"),(AC30-(+AC30*W31)),IF(AND(T30="Impacto",T31="Probabilidad"),(AC29-(+AC29*W31)),IF(T31="Impacto",AC30,""))),"")</f>
        <v>0.2</v>
      </c>
      <c r="AB31" s="129" t="str">
        <f t="shared" si="26"/>
        <v>Muy Baja</v>
      </c>
      <c r="AC31" s="130">
        <f t="shared" si="27"/>
        <v>0.2</v>
      </c>
      <c r="AD31" s="129" t="str">
        <f t="shared" ca="1" si="28"/>
        <v>Menor</v>
      </c>
      <c r="AE31" s="138">
        <f ca="1">IFERROR(IF(AND(T30="Impacto",T31="Impacto"),(AE30-(+AE30*W31)),IF(AND(T30="Probabilidad",T31="Impacto"),(AE29-(+AE29*W31)),IF(T31="Probabilidad",AE30,""))),"")</f>
        <v>0.22500000000000003</v>
      </c>
      <c r="AF31" s="131" t="str">
        <f t="shared" ca="1" si="29"/>
        <v>Bajo</v>
      </c>
      <c r="AG31" s="132" t="s">
        <v>30</v>
      </c>
      <c r="AH31" s="133"/>
      <c r="AI31" s="134"/>
      <c r="AJ31" s="135"/>
      <c r="AK31" s="135"/>
      <c r="AL31" s="133"/>
      <c r="AM31" s="134"/>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1" ht="68.45" customHeight="1" x14ac:dyDescent="0.3">
      <c r="A32" s="212"/>
      <c r="B32" s="215"/>
      <c r="C32" s="215"/>
      <c r="D32" s="215"/>
      <c r="E32" s="164"/>
      <c r="F32" s="215"/>
      <c r="G32" s="227"/>
      <c r="H32" s="218"/>
      <c r="I32" s="215"/>
      <c r="J32" s="230"/>
      <c r="K32" s="224"/>
      <c r="L32" s="233"/>
      <c r="M32" s="221"/>
      <c r="N32" s="233">
        <f ca="1">IF(NOT(ISERROR(MATCH(M32,_xlfn.ANCHORARRAY(#REF!),0))),#REF!&amp;"Por favor no seleccionar los criterios de impacto",M32)</f>
        <v>0</v>
      </c>
      <c r="O32" s="224"/>
      <c r="P32" s="233"/>
      <c r="Q32" s="236"/>
      <c r="R32" s="124">
        <v>4</v>
      </c>
      <c r="S32" s="136" t="s">
        <v>346</v>
      </c>
      <c r="T32" s="125" t="str">
        <f t="shared" si="24"/>
        <v>Impacto</v>
      </c>
      <c r="U32" s="126" t="s">
        <v>15</v>
      </c>
      <c r="V32" s="126" t="s">
        <v>8</v>
      </c>
      <c r="W32" s="127" t="str">
        <f t="shared" si="25"/>
        <v>25%</v>
      </c>
      <c r="X32" s="126" t="s">
        <v>19</v>
      </c>
      <c r="Y32" s="126" t="s">
        <v>22</v>
      </c>
      <c r="Z32" s="126" t="s">
        <v>111</v>
      </c>
      <c r="AA32" s="128">
        <f t="shared" ref="AA32:AA34" si="30">IFERROR(IF(AND(T31="Probabilidad",T32="Probabilidad"),(AC31-(+AC31*W32)),IF(AND(T31="Impacto",T32="Probabilidad"),(AC30-(+AC30*W32)),IF(T32="Impacto",AC31,""))),"")</f>
        <v>0.2</v>
      </c>
      <c r="AB32" s="129" t="str">
        <f t="shared" si="26"/>
        <v>Muy Baja</v>
      </c>
      <c r="AC32" s="130">
        <f t="shared" si="27"/>
        <v>0.2</v>
      </c>
      <c r="AD32" s="129" t="str">
        <f t="shared" ca="1" si="28"/>
        <v>Leve</v>
      </c>
      <c r="AE32" s="138">
        <f t="shared" ref="AE32:AE34" ca="1" si="31">IFERROR(IF(AND(T31="Impacto",T32="Impacto"),(AE31-(+AE31*W32)),IF(AND(T31="Probabilidad",T32="Impacto"),(AE30-(+AE30*W32)),IF(T32="Probabilidad",AE31,""))),"")</f>
        <v>0.16875000000000001</v>
      </c>
      <c r="AF32" s="131" t="str">
        <f ca="1">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Bajo</v>
      </c>
      <c r="AG32" s="132" t="s">
        <v>30</v>
      </c>
      <c r="AH32" s="133"/>
      <c r="AI32" s="134"/>
      <c r="AJ32" s="135"/>
      <c r="AK32" s="135"/>
      <c r="AL32" s="133"/>
      <c r="AM32" s="134"/>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71" ht="68.45" customHeight="1" x14ac:dyDescent="0.3">
      <c r="A33" s="212"/>
      <c r="B33" s="215"/>
      <c r="C33" s="215"/>
      <c r="D33" s="215"/>
      <c r="E33" s="164"/>
      <c r="F33" s="215"/>
      <c r="G33" s="227"/>
      <c r="H33" s="218"/>
      <c r="I33" s="215"/>
      <c r="J33" s="230"/>
      <c r="K33" s="224"/>
      <c r="L33" s="233"/>
      <c r="M33" s="221"/>
      <c r="N33" s="233">
        <f ca="1">IF(NOT(ISERROR(MATCH(M33,_xlfn.ANCHORARRAY(#REF!),0))),#REF!&amp;"Por favor no seleccionar los criterios de impacto",M33)</f>
        <v>0</v>
      </c>
      <c r="O33" s="224"/>
      <c r="P33" s="233"/>
      <c r="Q33" s="236"/>
      <c r="R33" s="124">
        <v>5</v>
      </c>
      <c r="S33" s="169"/>
      <c r="T33" s="125" t="str">
        <f t="shared" si="14"/>
        <v/>
      </c>
      <c r="U33" s="126"/>
      <c r="V33" s="126"/>
      <c r="W33" s="127" t="str">
        <f t="shared" ref="W33:W34" si="32">IF(AND(U33="Preventivo",V33="Automático"),"50%",IF(AND(U33="Preventivo",V33="Manual"),"40%",IF(AND(U33="Detectivo",V33="Automático"),"40%",IF(AND(U33="Detectivo",V33="Manual"),"30%",IF(AND(U33="Correctivo",V33="Automático"),"35%",IF(AND(U33="Correctivo",V33="Manual"),"25%",""))))))</f>
        <v/>
      </c>
      <c r="X33" s="126"/>
      <c r="Y33" s="126"/>
      <c r="Z33" s="126"/>
      <c r="AA33" s="128" t="str">
        <f t="shared" si="30"/>
        <v/>
      </c>
      <c r="AB33" s="129" t="str">
        <f t="shared" si="26"/>
        <v/>
      </c>
      <c r="AC33" s="130" t="str">
        <f t="shared" si="27"/>
        <v/>
      </c>
      <c r="AD33" s="129" t="str">
        <f t="shared" si="28"/>
        <v/>
      </c>
      <c r="AE33" s="138" t="str">
        <f t="shared" si="31"/>
        <v/>
      </c>
      <c r="AF33" s="131" t="str">
        <f t="shared" ref="AF33" si="33">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
      </c>
      <c r="AG33" s="132"/>
      <c r="AH33" s="133"/>
      <c r="AI33" s="134"/>
      <c r="AJ33" s="135"/>
      <c r="AK33" s="135"/>
      <c r="AL33" s="133"/>
      <c r="AM33" s="134"/>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ht="68.45" customHeight="1" x14ac:dyDescent="0.3">
      <c r="A34" s="213"/>
      <c r="B34" s="216"/>
      <c r="C34" s="216"/>
      <c r="D34" s="216"/>
      <c r="E34" s="165"/>
      <c r="F34" s="216"/>
      <c r="G34" s="228"/>
      <c r="H34" s="219"/>
      <c r="I34" s="216"/>
      <c r="J34" s="231"/>
      <c r="K34" s="225"/>
      <c r="L34" s="234"/>
      <c r="M34" s="222"/>
      <c r="N34" s="234">
        <f ca="1">IF(NOT(ISERROR(MATCH(M34,_xlfn.ANCHORARRAY(#REF!),0))),#REF!&amp;"Por favor no seleccionar los criterios de impacto",M34)</f>
        <v>0</v>
      </c>
      <c r="O34" s="225"/>
      <c r="P34" s="234"/>
      <c r="Q34" s="237"/>
      <c r="R34" s="124">
        <v>6</v>
      </c>
      <c r="S34" s="169"/>
      <c r="T34" s="125" t="str">
        <f t="shared" si="14"/>
        <v/>
      </c>
      <c r="U34" s="126"/>
      <c r="V34" s="126"/>
      <c r="W34" s="127" t="str">
        <f t="shared" si="32"/>
        <v/>
      </c>
      <c r="X34" s="126"/>
      <c r="Y34" s="126"/>
      <c r="Z34" s="126"/>
      <c r="AA34" s="128" t="str">
        <f t="shared" si="30"/>
        <v/>
      </c>
      <c r="AB34" s="129" t="str">
        <f t="shared" si="26"/>
        <v/>
      </c>
      <c r="AC34" s="130" t="str">
        <f t="shared" si="27"/>
        <v/>
      </c>
      <c r="AD34" s="129" t="str">
        <f>IFERROR(IF(AE34="","",IF(AE34&lt;=0.2,"Leve",IF(AE34&lt;=0.4,"Menor",IF(AE34&lt;=0.6,"Moderado",IF(AE34&lt;=0.8,"Mayor","Catastrófico"))))),"")</f>
        <v/>
      </c>
      <c r="AE34" s="138" t="str">
        <f t="shared" si="31"/>
        <v/>
      </c>
      <c r="AF34" s="131" t="str">
        <f>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
      </c>
      <c r="AG34" s="132"/>
      <c r="AH34" s="133"/>
      <c r="AI34" s="134"/>
      <c r="AJ34" s="135"/>
      <c r="AK34" s="135"/>
      <c r="AL34" s="133"/>
      <c r="AM34" s="134"/>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row>
    <row r="35" spans="1:71" ht="68.45" customHeight="1" x14ac:dyDescent="0.3">
      <c r="A35" s="269">
        <v>5</v>
      </c>
      <c r="B35" s="214" t="s">
        <v>186</v>
      </c>
      <c r="C35" s="214" t="s">
        <v>322</v>
      </c>
      <c r="D35" s="214" t="s">
        <v>118</v>
      </c>
      <c r="E35" s="171" t="s">
        <v>342</v>
      </c>
      <c r="F35" s="214" t="s">
        <v>343</v>
      </c>
      <c r="G35" s="226" t="s">
        <v>194</v>
      </c>
      <c r="H35" s="217" t="s">
        <v>344</v>
      </c>
      <c r="I35" s="214" t="s">
        <v>216</v>
      </c>
      <c r="J35" s="229">
        <v>12</v>
      </c>
      <c r="K35" s="223" t="str">
        <f>IF(J35&lt;=0,"",IF(J35&lt;=2,"Muy Baja",IF(J35&lt;=24,"Baja",IF(J35&lt;=500,"Media",IF(J35&lt;=5000,"Alta","Muy Alta")))))</f>
        <v>Baja</v>
      </c>
      <c r="L35" s="232">
        <f>IF(K35="","",IF(K35="Muy Baja",0.2,IF(K35="Baja",0.4,IF(K35="Media",0.6,IF(K35="Alta",0.8,IF(K35="Muy Alta",1,))))))</f>
        <v>0.4</v>
      </c>
      <c r="M35" s="220" t="s">
        <v>132</v>
      </c>
      <c r="N35" s="232" t="str">
        <f ca="1">IF(NOT(ISERROR(MATCH(M35,'Tabla Impacto'!$B$221:$B$223,0))),'Tabla Impacto'!$F$223&amp;"Por favor no seleccionar los criterios de impacto(Afectación Económica o presupuestal y Pérdida Reputacional)",M35)</f>
        <v xml:space="preserve">     Entre 10 y 50 SMLMV </v>
      </c>
      <c r="O35" s="223" t="str">
        <f ca="1">IF(OR(N35='Tabla Impacto'!$C$11,N35='Tabla Impacto'!$D$11),"Leve",IF(OR(N35='Tabla Impacto'!$C$12,N35='Tabla Impacto'!$D$12),"Menor",IF(OR(N35='Tabla Impacto'!$C$13,N35='Tabla Impacto'!$D$13),"Moderado",IF(OR(N35='Tabla Impacto'!$C$14,N35='Tabla Impacto'!$D$14),"Mayor",IF(OR(N35='Tabla Impacto'!$C$15,N35='Tabla Impacto'!$D$15),"Catastrófico","")))))</f>
        <v>Menor</v>
      </c>
      <c r="P35" s="232">
        <f ca="1">IF(O35="","",IF(O35="Leve",0.2,IF(O35="Menor",0.4,IF(O35="Moderado",0.6,IF(O35="Mayor",0.8,IF(O35="Catastrófico",1,))))))</f>
        <v>0.4</v>
      </c>
      <c r="Q35" s="235" t="str">
        <f ca="1">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Moderado</v>
      </c>
      <c r="R35" s="124">
        <v>1</v>
      </c>
      <c r="S35" s="169" t="s">
        <v>340</v>
      </c>
      <c r="T35" s="125" t="str">
        <f t="shared" ref="T35:T40" si="34">IF(OR(U35="Preventivo",U35="Detectivo"),"Probabilidad",IF(U35="Correctivo","Impacto",""))</f>
        <v>Probabilidad</v>
      </c>
      <c r="U35" s="126" t="s">
        <v>13</v>
      </c>
      <c r="V35" s="126" t="s">
        <v>8</v>
      </c>
      <c r="W35" s="127" t="str">
        <f>IF(AND(U35="Preventivo",V35="Automático"),"50%",IF(AND(U35="Preventivo",V35="Manual"),"40%",IF(AND(U35="Detectivo",V35="Automático"),"40%",IF(AND(U35="Detectivo",V35="Manual"),"30%",IF(AND(U35="Correctivo",V35="Automático"),"35%",IF(AND(U35="Correctivo",V35="Manual"),"25%",""))))))</f>
        <v>40%</v>
      </c>
      <c r="X35" s="126" t="s">
        <v>18</v>
      </c>
      <c r="Y35" s="126" t="s">
        <v>21</v>
      </c>
      <c r="Z35" s="126" t="s">
        <v>111</v>
      </c>
      <c r="AA35" s="128">
        <f>IFERROR(IF(T35="Probabilidad",(L35-(+L35*W35)),IF(T35="Impacto",L35,"")),"")</f>
        <v>0.24</v>
      </c>
      <c r="AB35" s="129" t="str">
        <f>IFERROR(IF(AA35="","",IF(AA35&lt;=0.2,"Muy Baja",IF(AA35&lt;=0.4,"Baja",IF(AA35&lt;=0.6,"Media",IF(AA35&lt;=0.8,"Alta","Muy Alta"))))),"")</f>
        <v>Baja</v>
      </c>
      <c r="AC35" s="130">
        <f>+AA35</f>
        <v>0.24</v>
      </c>
      <c r="AD35" s="129" t="str">
        <f ca="1">IFERROR(IF(AE35="","",IF(AE35&lt;=0.2,"Leve",IF(AE35&lt;=0.4,"Menor",IF(AE35&lt;=0.6,"Moderado",IF(AE35&lt;=0.8,"Mayor","Catastrófico"))))),"")</f>
        <v>Menor</v>
      </c>
      <c r="AE35" s="138">
        <f ca="1">IFERROR(IF(T35="Impacto",(P35-(+P35*W35)),IF(T35="Probabilidad",P35,"")),"")</f>
        <v>0.4</v>
      </c>
      <c r="AF35" s="131" t="str">
        <f ca="1">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Moderado</v>
      </c>
      <c r="AG35" s="132" t="s">
        <v>30</v>
      </c>
      <c r="AH35" s="133"/>
      <c r="AI35" s="134"/>
      <c r="AJ35" s="135"/>
      <c r="AK35" s="135"/>
      <c r="AL35" s="133"/>
      <c r="AM35" s="13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71" ht="68.45" customHeight="1" x14ac:dyDescent="0.3">
      <c r="A36" s="270"/>
      <c r="B36" s="215"/>
      <c r="C36" s="215"/>
      <c r="D36" s="215"/>
      <c r="E36" s="164"/>
      <c r="F36" s="215"/>
      <c r="G36" s="227"/>
      <c r="H36" s="218"/>
      <c r="I36" s="215"/>
      <c r="J36" s="230"/>
      <c r="K36" s="224"/>
      <c r="L36" s="233"/>
      <c r="M36" s="221"/>
      <c r="N36" s="233">
        <f ca="1">IF(NOT(ISERROR(MATCH(M36,_xlfn.ANCHORARRAY(#REF!),0))),#REF!&amp;"Por favor no seleccionar los criterios de impacto",M36)</f>
        <v>0</v>
      </c>
      <c r="O36" s="224"/>
      <c r="P36" s="233"/>
      <c r="Q36" s="236"/>
      <c r="R36" s="124">
        <v>2</v>
      </c>
      <c r="S36" s="169" t="s">
        <v>341</v>
      </c>
      <c r="T36" s="125" t="str">
        <f t="shared" si="34"/>
        <v>Probabilidad</v>
      </c>
      <c r="U36" s="126" t="s">
        <v>13</v>
      </c>
      <c r="V36" s="126" t="s">
        <v>8</v>
      </c>
      <c r="W36" s="127" t="str">
        <f t="shared" ref="W36:W40" si="35">IF(AND(U36="Preventivo",V36="Automático"),"50%",IF(AND(U36="Preventivo",V36="Manual"),"40%",IF(AND(U36="Detectivo",V36="Automático"),"40%",IF(AND(U36="Detectivo",V36="Manual"),"30%",IF(AND(U36="Correctivo",V36="Automático"),"35%",IF(AND(U36="Correctivo",V36="Manual"),"25%",""))))))</f>
        <v>40%</v>
      </c>
      <c r="X36" s="126" t="s">
        <v>18</v>
      </c>
      <c r="Y36" s="126" t="s">
        <v>21</v>
      </c>
      <c r="Z36" s="126" t="s">
        <v>111</v>
      </c>
      <c r="AA36" s="128">
        <f>IFERROR(IF(AND(T35="Probabilidad",T36="Probabilidad"),(AC35-(+AC35*W36)),IF(T36="Probabilidad",(L35-(+L35*W36)),IF(T36="Impacto",AC35,""))),"")</f>
        <v>0.14399999999999999</v>
      </c>
      <c r="AB36" s="129" t="str">
        <f t="shared" ref="AB36:AB40" si="36">IFERROR(IF(AA36="","",IF(AA36&lt;=0.2,"Muy Baja",IF(AA36&lt;=0.4,"Baja",IF(AA36&lt;=0.6,"Media",IF(AA36&lt;=0.8,"Alta","Muy Alta"))))),"")</f>
        <v>Muy Baja</v>
      </c>
      <c r="AC36" s="130">
        <f t="shared" ref="AC36:AC40" si="37">+AA36</f>
        <v>0.14399999999999999</v>
      </c>
      <c r="AD36" s="129" t="str">
        <f t="shared" ref="AD36:AD39" ca="1" si="38">IFERROR(IF(AE36="","",IF(AE36&lt;=0.2,"Leve",IF(AE36&lt;=0.4,"Menor",IF(AE36&lt;=0.6,"Moderado",IF(AE36&lt;=0.8,"Mayor","Catastrófico"))))),"")</f>
        <v>Menor</v>
      </c>
      <c r="AE36" s="138">
        <f ca="1">IFERROR(IF(AND(T35="Impacto",T36="Impacto"),(AE35-(+AE35*W36)),IF(T36="Impacto",(P35-(+P35*W36)),IF(T36="Probabilidad",AE35,""))),"")</f>
        <v>0.4</v>
      </c>
      <c r="AF36" s="131" t="str">
        <f t="shared" ref="AF36:AF37" ca="1" si="39">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Bajo</v>
      </c>
      <c r="AG36" s="132" t="s">
        <v>30</v>
      </c>
      <c r="AH36" s="133"/>
      <c r="AI36" s="134"/>
      <c r="AJ36" s="135"/>
      <c r="AK36" s="135"/>
      <c r="AL36" s="133"/>
      <c r="AM36" s="134"/>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row>
    <row r="37" spans="1:71" ht="68.45" customHeight="1" x14ac:dyDescent="0.3">
      <c r="A37" s="270"/>
      <c r="B37" s="215"/>
      <c r="C37" s="215"/>
      <c r="D37" s="215"/>
      <c r="E37" s="164"/>
      <c r="F37" s="215"/>
      <c r="G37" s="227"/>
      <c r="H37" s="218"/>
      <c r="I37" s="215"/>
      <c r="J37" s="230"/>
      <c r="K37" s="224"/>
      <c r="L37" s="233"/>
      <c r="M37" s="221"/>
      <c r="N37" s="233">
        <f ca="1">IF(NOT(ISERROR(MATCH(M37,_xlfn.ANCHORARRAY(#REF!),0))),#REF!&amp;"Por favor no seleccionar los criterios de impacto",M37)</f>
        <v>0</v>
      </c>
      <c r="O37" s="224"/>
      <c r="P37" s="233"/>
      <c r="Q37" s="236"/>
      <c r="R37" s="124">
        <v>3</v>
      </c>
      <c r="S37" s="169"/>
      <c r="T37" s="125" t="str">
        <f t="shared" ref="T37" si="40">IF(OR(U37="Preventivo",U37="Detectivo"),"Probabilidad",IF(U37="Correctivo","Impacto",""))</f>
        <v/>
      </c>
      <c r="U37" s="126"/>
      <c r="V37" s="126"/>
      <c r="W37" s="127" t="str">
        <f t="shared" ref="W37" si="41">IF(AND(U37="Preventivo",V37="Automático"),"50%",IF(AND(U37="Preventivo",V37="Manual"),"40%",IF(AND(U37="Detectivo",V37="Automático"),"40%",IF(AND(U37="Detectivo",V37="Manual"),"30%",IF(AND(U37="Correctivo",V37="Automático"),"35%",IF(AND(U37="Correctivo",V37="Manual"),"25%",""))))))</f>
        <v/>
      </c>
      <c r="X37" s="126"/>
      <c r="Y37" s="126"/>
      <c r="Z37" s="126"/>
      <c r="AA37" s="128" t="str">
        <f>IFERROR(IF(AND(T36="Probabilidad",T37="Probabilidad"),(AC36-(+AC36*W37)),IF(AND(T36="Impacto",T37="Probabilidad"),(AC35-(+AC35*W37)),IF(T37="Impacto",AC36,""))),"")</f>
        <v/>
      </c>
      <c r="AB37" s="129" t="str">
        <f t="shared" si="36"/>
        <v/>
      </c>
      <c r="AC37" s="130" t="str">
        <f t="shared" si="37"/>
        <v/>
      </c>
      <c r="AD37" s="129" t="str">
        <f t="shared" si="38"/>
        <v/>
      </c>
      <c r="AE37" s="138" t="str">
        <f>IFERROR(IF(AND(T36="Impacto",T37="Impacto"),(AE36-(+AE36*W37)),IF(AND(T36="Probabilidad",T37="Impacto"),(AE35-(+AE35*W37)),IF(T37="Probabilidad",AE36,""))),"")</f>
        <v/>
      </c>
      <c r="AF37" s="131" t="str">
        <f t="shared" si="39"/>
        <v/>
      </c>
      <c r="AG37" s="132"/>
      <c r="AH37" s="133"/>
      <c r="AI37" s="134"/>
      <c r="AJ37" s="135"/>
      <c r="AK37" s="135"/>
      <c r="AL37" s="133"/>
      <c r="AM37" s="134"/>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row>
    <row r="38" spans="1:71" ht="68.45" customHeight="1" x14ac:dyDescent="0.3">
      <c r="A38" s="270"/>
      <c r="B38" s="215"/>
      <c r="C38" s="215"/>
      <c r="D38" s="215"/>
      <c r="E38" s="164"/>
      <c r="F38" s="215"/>
      <c r="G38" s="227"/>
      <c r="H38" s="218"/>
      <c r="I38" s="215"/>
      <c r="J38" s="230"/>
      <c r="K38" s="224"/>
      <c r="L38" s="233"/>
      <c r="M38" s="221"/>
      <c r="N38" s="233">
        <f ca="1">IF(NOT(ISERROR(MATCH(M38,_xlfn.ANCHORARRAY(#REF!),0))),#REF!&amp;"Por favor no seleccionar los criterios de impacto",M38)</f>
        <v>0</v>
      </c>
      <c r="O38" s="224"/>
      <c r="P38" s="233"/>
      <c r="Q38" s="236"/>
      <c r="R38" s="124">
        <v>4</v>
      </c>
      <c r="S38" s="169"/>
      <c r="T38" s="125" t="str">
        <f t="shared" si="34"/>
        <v/>
      </c>
      <c r="U38" s="126"/>
      <c r="V38" s="126"/>
      <c r="W38" s="127" t="str">
        <f t="shared" si="35"/>
        <v/>
      </c>
      <c r="X38" s="126"/>
      <c r="Y38" s="126"/>
      <c r="Z38" s="126"/>
      <c r="AA38" s="128" t="str">
        <f t="shared" ref="AA38:AA40" si="42">IFERROR(IF(AND(T37="Probabilidad",T38="Probabilidad"),(AC37-(+AC37*W38)),IF(AND(T37="Impacto",T38="Probabilidad"),(AC36-(+AC36*W38)),IF(T38="Impacto",AC37,""))),"")</f>
        <v/>
      </c>
      <c r="AB38" s="129" t="str">
        <f t="shared" si="36"/>
        <v/>
      </c>
      <c r="AC38" s="130" t="str">
        <f t="shared" si="37"/>
        <v/>
      </c>
      <c r="AD38" s="129" t="str">
        <f t="shared" si="38"/>
        <v/>
      </c>
      <c r="AE38" s="138" t="str">
        <f t="shared" ref="AE38:AE40" si="43">IFERROR(IF(AND(T37="Impacto",T38="Impacto"),(AE37-(+AE37*W38)),IF(AND(T37="Probabilidad",T38="Impacto"),(AE36-(+AE36*W38)),IF(T38="Probabilidad",AE37,""))),"")</f>
        <v/>
      </c>
      <c r="AF38" s="131" t="str">
        <f>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32"/>
      <c r="AH38" s="133"/>
      <c r="AI38" s="134"/>
      <c r="AJ38" s="135"/>
      <c r="AK38" s="135"/>
      <c r="AL38" s="133"/>
      <c r="AM38" s="134"/>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row>
    <row r="39" spans="1:71" ht="68.45" customHeight="1" x14ac:dyDescent="0.3">
      <c r="A39" s="270"/>
      <c r="B39" s="215"/>
      <c r="C39" s="215"/>
      <c r="D39" s="215"/>
      <c r="E39" s="164"/>
      <c r="F39" s="215"/>
      <c r="G39" s="227"/>
      <c r="H39" s="218"/>
      <c r="I39" s="215"/>
      <c r="J39" s="230"/>
      <c r="K39" s="224"/>
      <c r="L39" s="233"/>
      <c r="M39" s="221"/>
      <c r="N39" s="233">
        <f ca="1">IF(NOT(ISERROR(MATCH(M39,_xlfn.ANCHORARRAY(#REF!),0))),#REF!&amp;"Por favor no seleccionar los criterios de impacto",M39)</f>
        <v>0</v>
      </c>
      <c r="O39" s="224"/>
      <c r="P39" s="233"/>
      <c r="Q39" s="236"/>
      <c r="R39" s="124">
        <v>5</v>
      </c>
      <c r="S39" s="169"/>
      <c r="T39" s="125" t="str">
        <f t="shared" si="34"/>
        <v/>
      </c>
      <c r="U39" s="126"/>
      <c r="V39" s="126"/>
      <c r="W39" s="127" t="str">
        <f t="shared" si="35"/>
        <v/>
      </c>
      <c r="X39" s="126"/>
      <c r="Y39" s="126"/>
      <c r="Z39" s="126"/>
      <c r="AA39" s="128" t="str">
        <f t="shared" si="42"/>
        <v/>
      </c>
      <c r="AB39" s="129" t="str">
        <f t="shared" si="36"/>
        <v/>
      </c>
      <c r="AC39" s="130" t="str">
        <f t="shared" si="37"/>
        <v/>
      </c>
      <c r="AD39" s="129" t="str">
        <f t="shared" si="38"/>
        <v/>
      </c>
      <c r="AE39" s="138" t="str">
        <f t="shared" si="43"/>
        <v/>
      </c>
      <c r="AF39" s="131" t="str">
        <f t="shared" ref="AF39" si="44">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32"/>
      <c r="AH39" s="133"/>
      <c r="AI39" s="134"/>
      <c r="AJ39" s="135"/>
      <c r="AK39" s="135"/>
      <c r="AL39" s="133"/>
      <c r="AM39" s="134"/>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1" ht="68.45" customHeight="1" x14ac:dyDescent="0.3">
      <c r="A40" s="271"/>
      <c r="B40" s="216"/>
      <c r="C40" s="216"/>
      <c r="D40" s="216"/>
      <c r="E40" s="165"/>
      <c r="F40" s="216"/>
      <c r="G40" s="228"/>
      <c r="H40" s="219"/>
      <c r="I40" s="216"/>
      <c r="J40" s="231"/>
      <c r="K40" s="225"/>
      <c r="L40" s="234"/>
      <c r="M40" s="222"/>
      <c r="N40" s="234">
        <f ca="1">IF(NOT(ISERROR(MATCH(M40,_xlfn.ANCHORARRAY(#REF!),0))),#REF!&amp;"Por favor no seleccionar los criterios de impacto",M40)</f>
        <v>0</v>
      </c>
      <c r="O40" s="225"/>
      <c r="P40" s="234"/>
      <c r="Q40" s="237"/>
      <c r="R40" s="124">
        <v>6</v>
      </c>
      <c r="S40" s="169"/>
      <c r="T40" s="125" t="str">
        <f t="shared" si="34"/>
        <v/>
      </c>
      <c r="U40" s="126"/>
      <c r="V40" s="126"/>
      <c r="W40" s="127" t="str">
        <f t="shared" si="35"/>
        <v/>
      </c>
      <c r="X40" s="126"/>
      <c r="Y40" s="126"/>
      <c r="Z40" s="126"/>
      <c r="AA40" s="128" t="str">
        <f t="shared" si="42"/>
        <v/>
      </c>
      <c r="AB40" s="129" t="str">
        <f t="shared" si="36"/>
        <v/>
      </c>
      <c r="AC40" s="130" t="str">
        <f t="shared" si="37"/>
        <v/>
      </c>
      <c r="AD40" s="129" t="str">
        <f>IFERROR(IF(AE40="","",IF(AE40&lt;=0.2,"Leve",IF(AE40&lt;=0.4,"Menor",IF(AE40&lt;=0.6,"Moderado",IF(AE40&lt;=0.8,"Mayor","Catastrófico"))))),"")</f>
        <v/>
      </c>
      <c r="AE40" s="138" t="str">
        <f t="shared" si="43"/>
        <v/>
      </c>
      <c r="AF40" s="131" t="str">
        <f>IFERROR(IF(OR(AND(AB40="Muy Baja",AD40="Leve"),AND(AB40="Muy Baja",AD40="Menor"),AND(AB40="Baja",AD40="Leve")),"Bajo",IF(OR(AND(AB40="Muy baja",AD40="Moderado"),AND(AB40="Baja",AD40="Menor"),AND(AB40="Baja",AD40="Moderado"),AND(AB40="Media",AD40="Leve"),AND(AB40="Media",AD40="Menor"),AND(AB40="Media",AD40="Moderado"),AND(AB40="Alta",AD40="Leve"),AND(AB40="Alta",AD40="Menor")),"Moderado",IF(OR(AND(AB40="Muy Baja",AD40="Mayor"),AND(AB40="Baja",AD40="Mayor"),AND(AB40="Media",AD40="Mayor"),AND(AB40="Alta",AD40="Moderado"),AND(AB40="Alta",AD40="Mayor"),AND(AB40="Muy Alta",AD40="Leve"),AND(AB40="Muy Alta",AD40="Menor"),AND(AB40="Muy Alta",AD40="Moderado"),AND(AB40="Muy Alta",AD40="Mayor")),"Alto",IF(OR(AND(AB40="Muy Baja",AD40="Catastrófico"),AND(AB40="Baja",AD40="Catastrófico"),AND(AB40="Media",AD40="Catastrófico"),AND(AB40="Alta",AD40="Catastrófico"),AND(AB40="Muy Alta",AD40="Catastrófico")),"Extremo","")))),"")</f>
        <v/>
      </c>
      <c r="AG40" s="132"/>
      <c r="AH40" s="133"/>
      <c r="AI40" s="134"/>
      <c r="AJ40" s="135"/>
      <c r="AK40" s="135"/>
      <c r="AL40" s="133"/>
      <c r="AM40" s="134"/>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68.45" customHeight="1" x14ac:dyDescent="0.3">
      <c r="A41" s="211">
        <v>6</v>
      </c>
      <c r="B41" s="214" t="s">
        <v>187</v>
      </c>
      <c r="C41" s="214" t="s">
        <v>306</v>
      </c>
      <c r="D41" s="214" t="s">
        <v>116</v>
      </c>
      <c r="E41" s="163" t="s">
        <v>313</v>
      </c>
      <c r="F41" s="214" t="s">
        <v>331</v>
      </c>
      <c r="G41" s="226" t="s">
        <v>194</v>
      </c>
      <c r="H41" s="226" t="s">
        <v>349</v>
      </c>
      <c r="I41" s="214" t="s">
        <v>216</v>
      </c>
      <c r="J41" s="238">
        <v>365</v>
      </c>
      <c r="K41" s="223" t="str">
        <f>IF(J41&lt;=0,"",IF(J41&lt;=2,"Muy Baja",IF(J41&lt;=24,"Baja",IF(J41&lt;=500,"Media",IF(J41&lt;=5000,"Alta","Muy Alta")))))</f>
        <v>Media</v>
      </c>
      <c r="L41" s="232">
        <f>IF(K41="","",IF(K41="Muy Baja",0.2,IF(K41="Baja",0.4,IF(K41="Media",0.6,IF(K41="Alta",0.8,IF(K41="Muy Alta",1,))))))</f>
        <v>0.6</v>
      </c>
      <c r="M41" s="220" t="s">
        <v>137</v>
      </c>
      <c r="N41" s="232" t="str">
        <f ca="1">IF(NOT(ISERROR(MATCH(M41,'Tabla Impacto'!$B$221:$B$223,0))),'Tabla Impacto'!$F$223&amp;"Por favor no seleccionar los criterios de impacto(Afectación Económica o presupuestal y Pérdida Reputacional)",M41)</f>
        <v xml:space="preserve">     El riesgo afecta la imagen de la entidad con algunos usuarios de relevancia frente al logro de los objetivos</v>
      </c>
      <c r="O41" s="223" t="str">
        <f ca="1">IF(OR(N41='Tabla Impacto'!$C$11,N41='Tabla Impacto'!$D$11),"Leve",IF(OR(N41='Tabla Impacto'!$C$12,N41='Tabla Impacto'!$D$12),"Menor",IF(OR(N41='Tabla Impacto'!$C$13,N41='Tabla Impacto'!$D$13),"Moderado",IF(OR(N41='Tabla Impacto'!$C$14,N41='Tabla Impacto'!$D$14),"Mayor",IF(OR(N41='Tabla Impacto'!$C$15,N41='Tabla Impacto'!$D$15),"Catastrófico","")))))</f>
        <v>Moderado</v>
      </c>
      <c r="P41" s="232">
        <f ca="1">IF(O41="","",IF(O41="Leve",0.2,IF(O41="Menor",0.4,IF(O41="Moderado",0.6,IF(O41="Mayor",0.8,IF(O41="Catastrófico",1,))))))</f>
        <v>0.6</v>
      </c>
      <c r="Q41" s="235" t="str">
        <f ca="1">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Moderado</v>
      </c>
      <c r="R41" s="124">
        <v>1</v>
      </c>
      <c r="S41" s="169" t="s">
        <v>332</v>
      </c>
      <c r="T41" s="125" t="str">
        <f t="shared" si="14"/>
        <v>Probabilidad</v>
      </c>
      <c r="U41" s="126" t="s">
        <v>14</v>
      </c>
      <c r="V41" s="126" t="s">
        <v>8</v>
      </c>
      <c r="W41" s="127" t="str">
        <f>IF(AND(U41="Preventivo",V41="Automático"),"50%",IF(AND(U41="Preventivo",V41="Manual"),"40%",IF(AND(U41="Detectivo",V41="Automático"),"40%",IF(AND(U41="Detectivo",V41="Manual"),"30%",IF(AND(U41="Correctivo",V41="Automático"),"35%",IF(AND(U41="Correctivo",V41="Manual"),"25%",""))))))</f>
        <v>30%</v>
      </c>
      <c r="X41" s="126" t="s">
        <v>19</v>
      </c>
      <c r="Y41" s="126" t="s">
        <v>21</v>
      </c>
      <c r="Z41" s="126" t="s">
        <v>111</v>
      </c>
      <c r="AA41" s="128">
        <f>IFERROR(IF(T41="Probabilidad",(L41-(+L41*W41)),IF(T41="Impacto",L41,"")),"")</f>
        <v>0.42</v>
      </c>
      <c r="AB41" s="129" t="str">
        <f>IFERROR(IF(AA41="","",IF(AA41&lt;=0.2,"Muy Baja",IF(AA41&lt;=0.4,"Baja",IF(AA41&lt;=0.6,"Media",IF(AA41&lt;=0.8,"Alta","Muy Alta"))))),"")</f>
        <v>Media</v>
      </c>
      <c r="AC41" s="130">
        <f>+AA41</f>
        <v>0.42</v>
      </c>
      <c r="AD41" s="129" t="str">
        <f ca="1">IFERROR(IF(AE41="","",IF(AE41&lt;=0.2,"Leve",IF(AE41&lt;=0.4,"Menor",IF(AE41&lt;=0.6,"Moderado",IF(AE41&lt;=0.8,"Mayor","Catastrófico"))))),"")</f>
        <v>Moderado</v>
      </c>
      <c r="AE41" s="138">
        <f ca="1">IFERROR(IF(T41="Impacto",(P41-(+P41*W41)),IF(T41="Probabilidad",P41,"")),"")</f>
        <v>0.6</v>
      </c>
      <c r="AF41" s="131" t="str">
        <f ca="1">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Moderado</v>
      </c>
      <c r="AG41" s="132" t="s">
        <v>30</v>
      </c>
      <c r="AH41" s="133"/>
      <c r="AI41" s="134"/>
      <c r="AJ41" s="135"/>
      <c r="AK41" s="135"/>
      <c r="AL41" s="133"/>
      <c r="AM41" s="134"/>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1" ht="68.45" customHeight="1" x14ac:dyDescent="0.3">
      <c r="A42" s="212"/>
      <c r="B42" s="215"/>
      <c r="C42" s="215"/>
      <c r="D42" s="215"/>
      <c r="E42" s="164" t="s">
        <v>329</v>
      </c>
      <c r="F42" s="215"/>
      <c r="G42" s="227"/>
      <c r="H42" s="227"/>
      <c r="I42" s="215"/>
      <c r="J42" s="239"/>
      <c r="K42" s="224"/>
      <c r="L42" s="233"/>
      <c r="M42" s="221"/>
      <c r="N42" s="233">
        <f ca="1">IF(NOT(ISERROR(MATCH(M42,_xlfn.ANCHORARRAY(#REF!),0))),#REF!&amp;"Por favor no seleccionar los criterios de impacto",M42)</f>
        <v>0</v>
      </c>
      <c r="O42" s="224"/>
      <c r="P42" s="233"/>
      <c r="Q42" s="236"/>
      <c r="R42" s="124">
        <v>2</v>
      </c>
      <c r="S42" s="136" t="s">
        <v>346</v>
      </c>
      <c r="T42" s="125" t="str">
        <f t="shared" si="14"/>
        <v>Impacto</v>
      </c>
      <c r="U42" s="126" t="s">
        <v>15</v>
      </c>
      <c r="V42" s="126" t="s">
        <v>8</v>
      </c>
      <c r="W42" s="127" t="str">
        <f t="shared" ref="W42" si="45">IF(AND(U42="Preventivo",V42="Automático"),"50%",IF(AND(U42="Preventivo",V42="Manual"),"40%",IF(AND(U42="Detectivo",V42="Automático"),"40%",IF(AND(U42="Detectivo",V42="Manual"),"30%",IF(AND(U42="Correctivo",V42="Automático"),"35%",IF(AND(U42="Correctivo",V42="Manual"),"25%",""))))))</f>
        <v>25%</v>
      </c>
      <c r="X42" s="126" t="s">
        <v>19</v>
      </c>
      <c r="Y42" s="126" t="s">
        <v>22</v>
      </c>
      <c r="Z42" s="126" t="s">
        <v>111</v>
      </c>
      <c r="AA42" s="128">
        <f>IFERROR(IF(AND(T41="Probabilidad",T42="Probabilidad"),(AC41-(+AC41*W42)),IF(T42="Probabilidad",(L41-(+L41*W42)),IF(T42="Impacto",AC41,""))),"")</f>
        <v>0.42</v>
      </c>
      <c r="AB42" s="129" t="str">
        <f t="shared" ref="AB42:AB46" si="46">IFERROR(IF(AA42="","",IF(AA42&lt;=0.2,"Muy Baja",IF(AA42&lt;=0.4,"Baja",IF(AA42&lt;=0.6,"Media",IF(AA42&lt;=0.8,"Alta","Muy Alta"))))),"")</f>
        <v>Media</v>
      </c>
      <c r="AC42" s="130">
        <f t="shared" ref="AC42:AC46" si="47">+AA42</f>
        <v>0.42</v>
      </c>
      <c r="AD42" s="129" t="str">
        <f t="shared" ref="AD42:AD46" ca="1" si="48">IFERROR(IF(AE42="","",IF(AE42&lt;=0.2,"Leve",IF(AE42&lt;=0.4,"Menor",IF(AE42&lt;=0.6,"Moderado",IF(AE42&lt;=0.8,"Mayor","Catastrófico"))))),"")</f>
        <v>Moderado</v>
      </c>
      <c r="AE42" s="138">
        <f ca="1">IFERROR(IF(AND(T41="Impacto",T42="Impacto"),(AE41-(+AE41*W42)),IF(T42="Impacto",(P41-(+P41*W42)),IF(T42="Probabilidad",AE41,""))),"")</f>
        <v>0.44999999999999996</v>
      </c>
      <c r="AF42" s="131" t="str">
        <f t="shared" ref="AF42:AF43" ca="1" si="49">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Moderado</v>
      </c>
      <c r="AG42" s="132" t="s">
        <v>30</v>
      </c>
      <c r="AH42" s="133"/>
      <c r="AI42" s="134"/>
      <c r="AJ42" s="135"/>
      <c r="AK42" s="135"/>
      <c r="AL42" s="133"/>
      <c r="AM42" s="134"/>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1" ht="68.45" customHeight="1" x14ac:dyDescent="0.3">
      <c r="A43" s="212"/>
      <c r="B43" s="215"/>
      <c r="C43" s="215"/>
      <c r="D43" s="215"/>
      <c r="E43" s="164" t="s">
        <v>330</v>
      </c>
      <c r="F43" s="215"/>
      <c r="G43" s="227"/>
      <c r="H43" s="227"/>
      <c r="I43" s="215"/>
      <c r="J43" s="239"/>
      <c r="K43" s="224"/>
      <c r="L43" s="233"/>
      <c r="M43" s="221"/>
      <c r="N43" s="233">
        <f ca="1">IF(NOT(ISERROR(MATCH(M43,_xlfn.ANCHORARRAY(#REF!),0))),#REF!&amp;"Por favor no seleccionar los criterios de impacto",M43)</f>
        <v>0</v>
      </c>
      <c r="O43" s="224"/>
      <c r="P43" s="233"/>
      <c r="Q43" s="236"/>
      <c r="R43" s="124">
        <v>3</v>
      </c>
      <c r="S43" s="169" t="s">
        <v>347</v>
      </c>
      <c r="T43" s="125" t="str">
        <f t="shared" si="14"/>
        <v>Probabilidad</v>
      </c>
      <c r="U43" s="126" t="s">
        <v>13</v>
      </c>
      <c r="V43" s="126" t="s">
        <v>9</v>
      </c>
      <c r="W43" s="127" t="str">
        <f>IF(AND(U43="Preventivo",V43="Automático"),"50%",IF(AND(U43="Preventivo",V43="Manual"),"40%",IF(AND(U43="Detectivo",V43="Automático"),"40%",IF(AND(U43="Detectivo",V43="Manual"),"30%",IF(AND(U43="Correctivo",V43="Automático"),"35%",IF(AND(U43="Correctivo",V43="Manual"),"25%",""))))))</f>
        <v>50%</v>
      </c>
      <c r="X43" s="126" t="s">
        <v>18</v>
      </c>
      <c r="Y43" s="126" t="s">
        <v>21</v>
      </c>
      <c r="Z43" s="126" t="s">
        <v>111</v>
      </c>
      <c r="AA43" s="128">
        <f>IFERROR(IF(AND(T42="Probabilidad",T43="Probabilidad"),(AC42-(+AC42*W43)),IF(AND(T42="Impacto",T43="Probabilidad"),(AC41-(+AC41*W43)),IF(T43="Impacto",AC42,""))),"")</f>
        <v>0.21</v>
      </c>
      <c r="AB43" s="129" t="str">
        <f t="shared" si="46"/>
        <v>Baja</v>
      </c>
      <c r="AC43" s="130">
        <f t="shared" si="47"/>
        <v>0.21</v>
      </c>
      <c r="AD43" s="129" t="str">
        <f t="shared" ca="1" si="48"/>
        <v>Moderado</v>
      </c>
      <c r="AE43" s="138">
        <f ca="1">IFERROR(IF(AND(T42="Impacto",T43="Impacto"),(AE42-(+AE42*W43)),IF(AND(T42="Probabilidad",T43="Impacto"),(AE41-(+AE41*W43)),IF(T43="Probabilidad",AE42,""))),"")</f>
        <v>0.44999999999999996</v>
      </c>
      <c r="AF43" s="131" t="str">
        <f t="shared" ca="1" si="49"/>
        <v>Moderado</v>
      </c>
      <c r="AG43" s="132" t="s">
        <v>30</v>
      </c>
      <c r="AH43" s="133"/>
      <c r="AI43" s="134"/>
      <c r="AJ43" s="135"/>
      <c r="AK43" s="135"/>
      <c r="AL43" s="133"/>
      <c r="AM43" s="134"/>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1" ht="68.45" customHeight="1" x14ac:dyDescent="0.3">
      <c r="A44" s="212"/>
      <c r="B44" s="215"/>
      <c r="C44" s="215"/>
      <c r="D44" s="215"/>
      <c r="E44" s="164"/>
      <c r="F44" s="215"/>
      <c r="G44" s="227"/>
      <c r="H44" s="227"/>
      <c r="I44" s="215"/>
      <c r="J44" s="239"/>
      <c r="K44" s="224"/>
      <c r="L44" s="233"/>
      <c r="M44" s="221"/>
      <c r="N44" s="233">
        <f ca="1">IF(NOT(ISERROR(MATCH(M44,_xlfn.ANCHORARRAY(#REF!),0))),#REF!&amp;"Por favor no seleccionar los criterios de impacto",M44)</f>
        <v>0</v>
      </c>
      <c r="O44" s="224"/>
      <c r="P44" s="233"/>
      <c r="Q44" s="236"/>
      <c r="R44" s="124">
        <v>4</v>
      </c>
      <c r="S44" s="169" t="s">
        <v>348</v>
      </c>
      <c r="T44" s="125" t="str">
        <f t="shared" si="14"/>
        <v>Probabilidad</v>
      </c>
      <c r="U44" s="126" t="s">
        <v>13</v>
      </c>
      <c r="V44" s="126" t="s">
        <v>8</v>
      </c>
      <c r="W44" s="127" t="str">
        <f>IF(AND(U44="Preventivo",V44="Automático"),"50%",IF(AND(U44="Preventivo",V44="Manual"),"40%",IF(AND(U44="Detectivo",V44="Automático"),"40%",IF(AND(U44="Detectivo",V44="Manual"),"30%",IF(AND(U44="Correctivo",V44="Automático"),"35%",IF(AND(U44="Correctivo",V44="Manual"),"25%",""))))))</f>
        <v>40%</v>
      </c>
      <c r="X44" s="126" t="s">
        <v>18</v>
      </c>
      <c r="Y44" s="126" t="s">
        <v>21</v>
      </c>
      <c r="Z44" s="126" t="s">
        <v>111</v>
      </c>
      <c r="AA44" s="128">
        <f t="shared" ref="AA44:AA46" si="50">IFERROR(IF(AND(T43="Probabilidad",T44="Probabilidad"),(AC43-(+AC43*W44)),IF(AND(T43="Impacto",T44="Probabilidad"),(AC42-(+AC42*W44)),IF(T44="Impacto",AC43,""))),"")</f>
        <v>0.126</v>
      </c>
      <c r="AB44" s="129" t="str">
        <f t="shared" si="46"/>
        <v>Muy Baja</v>
      </c>
      <c r="AC44" s="130">
        <f t="shared" si="47"/>
        <v>0.126</v>
      </c>
      <c r="AD44" s="129" t="str">
        <f t="shared" ca="1" si="48"/>
        <v>Moderado</v>
      </c>
      <c r="AE44" s="138">
        <f t="shared" ref="AE44:AE46" ca="1" si="51">IFERROR(IF(AND(T43="Impacto",T44="Impacto"),(AE43-(+AE43*W44)),IF(AND(T43="Probabilidad",T44="Impacto"),(AE42-(+AE42*W44)),IF(T44="Probabilidad",AE43,""))),"")</f>
        <v>0.44999999999999996</v>
      </c>
      <c r="AF44" s="131" t="str">
        <f ca="1">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132" t="s">
        <v>30</v>
      </c>
      <c r="AH44" s="133"/>
      <c r="AI44" s="134"/>
      <c r="AJ44" s="135"/>
      <c r="AK44" s="135"/>
      <c r="AL44" s="133"/>
      <c r="AM44" s="134"/>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1" ht="68.45" customHeight="1" x14ac:dyDescent="0.3">
      <c r="A45" s="212"/>
      <c r="B45" s="215"/>
      <c r="C45" s="215"/>
      <c r="D45" s="215"/>
      <c r="E45" s="164"/>
      <c r="F45" s="215"/>
      <c r="G45" s="227"/>
      <c r="H45" s="227"/>
      <c r="I45" s="215"/>
      <c r="J45" s="239"/>
      <c r="K45" s="224"/>
      <c r="L45" s="233"/>
      <c r="M45" s="221"/>
      <c r="N45" s="233">
        <f ca="1">IF(NOT(ISERROR(MATCH(M45,_xlfn.ANCHORARRAY(#REF!),0))),#REF!&amp;"Por favor no seleccionar los criterios de impacto",M45)</f>
        <v>0</v>
      </c>
      <c r="O45" s="224"/>
      <c r="P45" s="233"/>
      <c r="Q45" s="236"/>
      <c r="R45" s="124">
        <v>5</v>
      </c>
      <c r="S45" s="169"/>
      <c r="T45" s="125" t="str">
        <f t="shared" si="14"/>
        <v/>
      </c>
      <c r="U45" s="126"/>
      <c r="V45" s="126"/>
      <c r="W45" s="127" t="str">
        <f t="shared" ref="W45:W46" si="52">IF(AND(U45="Preventivo",V45="Automático"),"50%",IF(AND(U45="Preventivo",V45="Manual"),"40%",IF(AND(U45="Detectivo",V45="Automático"),"40%",IF(AND(U45="Detectivo",V45="Manual"),"30%",IF(AND(U45="Correctivo",V45="Automático"),"35%",IF(AND(U45="Correctivo",V45="Manual"),"25%",""))))))</f>
        <v/>
      </c>
      <c r="X45" s="126"/>
      <c r="Y45" s="126"/>
      <c r="Z45" s="126"/>
      <c r="AA45" s="128" t="str">
        <f t="shared" si="50"/>
        <v/>
      </c>
      <c r="AB45" s="129" t="str">
        <f t="shared" si="46"/>
        <v/>
      </c>
      <c r="AC45" s="130" t="str">
        <f t="shared" si="47"/>
        <v/>
      </c>
      <c r="AD45" s="129" t="str">
        <f t="shared" si="48"/>
        <v/>
      </c>
      <c r="AE45" s="138" t="str">
        <f t="shared" si="51"/>
        <v/>
      </c>
      <c r="AF45" s="131" t="str">
        <f t="shared" ref="AF45:AF46" si="53">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
      </c>
      <c r="AG45" s="132"/>
      <c r="AH45" s="133"/>
      <c r="AI45" s="134"/>
      <c r="AJ45" s="135"/>
      <c r="AK45" s="135"/>
      <c r="AL45" s="133"/>
      <c r="AM45" s="134"/>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1" ht="68.45" customHeight="1" x14ac:dyDescent="0.3">
      <c r="A46" s="213"/>
      <c r="B46" s="216"/>
      <c r="C46" s="216"/>
      <c r="D46" s="216"/>
      <c r="E46" s="165"/>
      <c r="F46" s="216"/>
      <c r="G46" s="228"/>
      <c r="H46" s="228"/>
      <c r="I46" s="216"/>
      <c r="J46" s="240"/>
      <c r="K46" s="225"/>
      <c r="L46" s="234"/>
      <c r="M46" s="222"/>
      <c r="N46" s="234">
        <f ca="1">IF(NOT(ISERROR(MATCH(M46,_xlfn.ANCHORARRAY(#REF!),0))),#REF!&amp;"Por favor no seleccionar los criterios de impacto",M46)</f>
        <v>0</v>
      </c>
      <c r="O46" s="225"/>
      <c r="P46" s="234"/>
      <c r="Q46" s="237"/>
      <c r="R46" s="124">
        <v>6</v>
      </c>
      <c r="S46" s="169"/>
      <c r="T46" s="125" t="str">
        <f t="shared" si="14"/>
        <v/>
      </c>
      <c r="U46" s="126"/>
      <c r="V46" s="126"/>
      <c r="W46" s="127" t="str">
        <f t="shared" si="52"/>
        <v/>
      </c>
      <c r="X46" s="126"/>
      <c r="Y46" s="126"/>
      <c r="Z46" s="126"/>
      <c r="AA46" s="128" t="str">
        <f t="shared" si="50"/>
        <v/>
      </c>
      <c r="AB46" s="129" t="str">
        <f t="shared" si="46"/>
        <v/>
      </c>
      <c r="AC46" s="130" t="str">
        <f t="shared" si="47"/>
        <v/>
      </c>
      <c r="AD46" s="129" t="str">
        <f t="shared" si="48"/>
        <v/>
      </c>
      <c r="AE46" s="138" t="str">
        <f t="shared" si="51"/>
        <v/>
      </c>
      <c r="AF46" s="131" t="str">
        <f t="shared" si="53"/>
        <v/>
      </c>
      <c r="AG46" s="132"/>
      <c r="AH46" s="133"/>
      <c r="AI46" s="134"/>
      <c r="AJ46" s="135"/>
      <c r="AK46" s="135"/>
      <c r="AL46" s="133"/>
      <c r="AM46" s="134"/>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1" ht="68.45" customHeight="1" x14ac:dyDescent="0.3">
      <c r="A47" s="211">
        <v>7</v>
      </c>
      <c r="B47" s="214" t="s">
        <v>184</v>
      </c>
      <c r="C47" s="214" t="s">
        <v>307</v>
      </c>
      <c r="D47" s="214" t="s">
        <v>116</v>
      </c>
      <c r="E47" s="171" t="s">
        <v>298</v>
      </c>
      <c r="F47" s="214" t="s">
        <v>309</v>
      </c>
      <c r="G47" s="226" t="s">
        <v>193</v>
      </c>
      <c r="H47" s="217" t="s">
        <v>304</v>
      </c>
      <c r="I47" s="214" t="s">
        <v>211</v>
      </c>
      <c r="J47" s="238">
        <v>2</v>
      </c>
      <c r="K47" s="223" t="str">
        <f>IF(J47&lt;=0,"",IF(J47&lt;=2,"Muy Baja",IF(J47&lt;=24,"Baja",IF(J47&lt;=500,"Media",IF(J47&lt;=5000,"Alta","Muy Alta")))))</f>
        <v>Muy Baja</v>
      </c>
      <c r="L47" s="232">
        <f>IF(K47="","",IF(K47="Muy Baja",0.2,IF(K47="Baja",0.4,IF(K47="Media",0.6,IF(K47="Alta",0.8,IF(K47="Muy Alta",1,))))))</f>
        <v>0.2</v>
      </c>
      <c r="M47" s="220" t="s">
        <v>137</v>
      </c>
      <c r="N47" s="166" t="str">
        <f ca="1">IF(NOT(ISERROR(MATCH(M47,'Tabla Impacto'!$B$221:$B$223,0))),'Tabla Impacto'!$F$223&amp;"Por favor no seleccionar los criterios de impacto(Afectación Económica o presupuestal y Pérdida Reputacional)",M47)</f>
        <v xml:space="preserve">     El riesgo afecta la imagen de la entidad con algunos usuarios de relevancia frente al logro de los objetivos</v>
      </c>
      <c r="O47" s="223" t="str">
        <f ca="1">IF(OR(N47='Tabla Impacto'!$C$11,N47='Tabla Impacto'!$D$11),"Leve",IF(OR(N47='Tabla Impacto'!$C$12,N47='Tabla Impacto'!$D$12),"Menor",IF(OR(N47='Tabla Impacto'!$C$13,N47='Tabla Impacto'!$D$13),"Moderado",IF(OR(N47='Tabla Impacto'!$C$14,N47='Tabla Impacto'!$D$14),"Mayor",IF(OR(N47='Tabla Impacto'!$C$15,N47='Tabla Impacto'!$D$15),"Catastrófico","")))))</f>
        <v>Moderado</v>
      </c>
      <c r="P47" s="232">
        <f ca="1">IF(O47="","",IF(O47="Leve",0.2,IF(O47="Menor",0.4,IF(O47="Moderado",0.6,IF(O47="Mayor",0.8,IF(O47="Catastrófico",1,))))))</f>
        <v>0.6</v>
      </c>
      <c r="Q47" s="235" t="str">
        <f ca="1">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Moderado</v>
      </c>
      <c r="R47" s="124">
        <v>1</v>
      </c>
      <c r="S47" s="169" t="s">
        <v>333</v>
      </c>
      <c r="T47" s="125" t="str">
        <f t="shared" si="0"/>
        <v>Probabilidad</v>
      </c>
      <c r="U47" s="126" t="s">
        <v>13</v>
      </c>
      <c r="V47" s="126" t="s">
        <v>8</v>
      </c>
      <c r="W47" s="127" t="str">
        <f>IF(AND(U47="Preventivo",V47="Automático"),"50%",IF(AND(U47="Preventivo",V47="Manual"),"40%",IF(AND(U47="Detectivo",V47="Automático"),"40%",IF(AND(U47="Detectivo",V47="Manual"),"30%",IF(AND(U47="Correctivo",V47="Automático"),"35%",IF(AND(U47="Correctivo",V47="Manual"),"25%",""))))))</f>
        <v>40%</v>
      </c>
      <c r="X47" s="126" t="s">
        <v>18</v>
      </c>
      <c r="Y47" s="126" t="s">
        <v>21</v>
      </c>
      <c r="Z47" s="126" t="s">
        <v>111</v>
      </c>
      <c r="AA47" s="128">
        <f>IFERROR(IF(T47="Probabilidad",(L47-(+L47*W47)),IF(T47="Impacto",L47,"")),"")</f>
        <v>0.12</v>
      </c>
      <c r="AB47" s="129" t="str">
        <f>IFERROR(IF(AA47="","",IF(AA47&lt;=0.2,"Muy Baja",IF(AA47&lt;=0.4,"Baja",IF(AA47&lt;=0.6,"Media",IF(AA47&lt;=0.8,"Alta","Muy Alta"))))),"")</f>
        <v>Muy Baja</v>
      </c>
      <c r="AC47" s="130">
        <f>+AA47</f>
        <v>0.12</v>
      </c>
      <c r="AD47" s="129" t="str">
        <f ca="1">IFERROR(IF(AE47="","",IF(AE47&lt;=0.2,"Leve",IF(AE47&lt;=0.4,"Menor",IF(AE47&lt;=0.6,"Moderado",IF(AE47&lt;=0.8,"Mayor","Catastrófico"))))),"")</f>
        <v>Moderado</v>
      </c>
      <c r="AE47" s="138">
        <f ca="1">IFERROR(IF(T47="Impacto",(P47-(+P47*W47)),IF(T47="Probabilidad",P47,"")),"")</f>
        <v>0.6</v>
      </c>
      <c r="AF47" s="131" t="str">
        <f ca="1">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Moderado</v>
      </c>
      <c r="AG47" s="132" t="s">
        <v>30</v>
      </c>
      <c r="AH47" s="133"/>
      <c r="AI47" s="134"/>
      <c r="AJ47" s="135"/>
      <c r="AK47" s="135"/>
      <c r="AL47" s="133"/>
      <c r="AM47" s="134"/>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1" ht="68.45" customHeight="1" x14ac:dyDescent="0.3">
      <c r="A48" s="212"/>
      <c r="B48" s="215"/>
      <c r="C48" s="215"/>
      <c r="D48" s="215"/>
      <c r="E48" s="164"/>
      <c r="F48" s="215"/>
      <c r="G48" s="227"/>
      <c r="H48" s="218"/>
      <c r="I48" s="215"/>
      <c r="J48" s="239"/>
      <c r="K48" s="224"/>
      <c r="L48" s="233"/>
      <c r="M48" s="221"/>
      <c r="N48" s="167">
        <f ca="1">IF(NOT(ISERROR(MATCH(M48,_xlfn.ANCHORARRAY(H71),0))),L73&amp;"Por favor no seleccionar los criterios de impacto",M48)</f>
        <v>0</v>
      </c>
      <c r="O48" s="224"/>
      <c r="P48" s="233"/>
      <c r="Q48" s="236"/>
      <c r="R48" s="124">
        <v>2</v>
      </c>
      <c r="S48" s="169"/>
      <c r="T48" s="125" t="str">
        <f t="shared" ref="T48" si="54">IF(OR(U48="Preventivo",U48="Detectivo"),"Probabilidad",IF(U48="Correctivo","Impacto",""))</f>
        <v/>
      </c>
      <c r="U48" s="126"/>
      <c r="V48" s="126"/>
      <c r="W48" s="127" t="str">
        <f t="shared" ref="W48" si="55">IF(AND(U48="Preventivo",V48="Automático"),"50%",IF(AND(U48="Preventivo",V48="Manual"),"40%",IF(AND(U48="Detectivo",V48="Automático"),"40%",IF(AND(U48="Detectivo",V48="Manual"),"30%",IF(AND(U48="Correctivo",V48="Automático"),"35%",IF(AND(U48="Correctivo",V48="Manual"),"25%",""))))))</f>
        <v/>
      </c>
      <c r="X48" s="126"/>
      <c r="Y48" s="126"/>
      <c r="Z48" s="126"/>
      <c r="AA48" s="128" t="str">
        <f>IFERROR(IF(AND(T47="Probabilidad",T48="Probabilidad"),(AC47-(+AC47*W48)),IF(T48="Probabilidad",(L47-(+L47*W48)),IF(T48="Impacto",AC47,""))),"")</f>
        <v/>
      </c>
      <c r="AB48" s="129" t="str">
        <f t="shared" si="2"/>
        <v/>
      </c>
      <c r="AC48" s="130" t="str">
        <f t="shared" ref="AC48:AC52" si="56">+AA48</f>
        <v/>
      </c>
      <c r="AD48" s="129" t="str">
        <f t="shared" si="4"/>
        <v/>
      </c>
      <c r="AE48" s="138" t="str">
        <f>IFERROR(IF(AND(T47="Impacto",T48="Impacto"),(AE47-(+AE47*W48)),IF(T48="Impacto",(P47-(+P47*W48)),IF(T48="Probabilidad",AE47,""))),"")</f>
        <v/>
      </c>
      <c r="AF48" s="131" t="str">
        <f t="shared" ref="AF48:AF49" si="57">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132"/>
      <c r="AH48" s="133"/>
      <c r="AI48" s="134"/>
      <c r="AJ48" s="135"/>
      <c r="AK48" s="135"/>
      <c r="AL48" s="133"/>
      <c r="AM48" s="134"/>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68.45" customHeight="1" x14ac:dyDescent="0.3">
      <c r="A49" s="212"/>
      <c r="B49" s="215"/>
      <c r="C49" s="215"/>
      <c r="D49" s="215"/>
      <c r="E49" s="164"/>
      <c r="F49" s="215"/>
      <c r="G49" s="227"/>
      <c r="H49" s="218"/>
      <c r="I49" s="215"/>
      <c r="J49" s="239"/>
      <c r="K49" s="224"/>
      <c r="L49" s="233"/>
      <c r="M49" s="221"/>
      <c r="N49" s="167">
        <f ca="1">IF(NOT(ISERROR(MATCH(M49,_xlfn.ANCHORARRAY(H72),0))),L74&amp;"Por favor no seleccionar los criterios de impacto",M49)</f>
        <v>0</v>
      </c>
      <c r="O49" s="224"/>
      <c r="P49" s="233"/>
      <c r="Q49" s="236"/>
      <c r="R49" s="124">
        <v>3</v>
      </c>
      <c r="S49" s="136"/>
      <c r="T49" s="125" t="str">
        <f t="shared" ref="T49" si="58">IF(OR(U49="Preventivo",U49="Detectivo"),"Probabilidad",IF(U49="Correctivo","Impacto",""))</f>
        <v/>
      </c>
      <c r="U49" s="126"/>
      <c r="V49" s="126"/>
      <c r="W49" s="127" t="str">
        <f t="shared" ref="W49" si="59">IF(AND(U49="Preventivo",V49="Automático"),"50%",IF(AND(U49="Preventivo",V49="Manual"),"40%",IF(AND(U49="Detectivo",V49="Automático"),"40%",IF(AND(U49="Detectivo",V49="Manual"),"30%",IF(AND(U49="Correctivo",V49="Automático"),"35%",IF(AND(U49="Correctivo",V49="Manual"),"25%",""))))))</f>
        <v/>
      </c>
      <c r="X49" s="126"/>
      <c r="Y49" s="126"/>
      <c r="Z49" s="126"/>
      <c r="AA49" s="128" t="str">
        <f>IFERROR(IF(AND(T48="Probabilidad",T49="Probabilidad"),(AC48-(+AC48*W49)),IF(AND(T48="Impacto",T49="Probabilidad"),(AC47-(+AC47*W49)),IF(T49="Impacto",AC48,""))),"")</f>
        <v/>
      </c>
      <c r="AB49" s="129" t="str">
        <f t="shared" si="2"/>
        <v/>
      </c>
      <c r="AC49" s="130" t="str">
        <f t="shared" si="56"/>
        <v/>
      </c>
      <c r="AD49" s="129" t="str">
        <f t="shared" si="4"/>
        <v/>
      </c>
      <c r="AE49" s="138" t="str">
        <f>IFERROR(IF(AND(T48="Impacto",T49="Impacto"),(AE48-(+AE48*W49)),IF(AND(T48="Probabilidad",T49="Impacto"),(AE47-(+AE47*W49)),IF(T49="Probabilidad",AE48,""))),"")</f>
        <v/>
      </c>
      <c r="AF49" s="131" t="str">
        <f t="shared" si="57"/>
        <v/>
      </c>
      <c r="AG49" s="132"/>
      <c r="AH49" s="133"/>
      <c r="AI49" s="134"/>
      <c r="AJ49" s="135"/>
      <c r="AK49" s="135"/>
      <c r="AL49" s="133"/>
      <c r="AM49" s="134"/>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68.45" customHeight="1" x14ac:dyDescent="0.3">
      <c r="A50" s="212"/>
      <c r="B50" s="215"/>
      <c r="C50" s="215"/>
      <c r="D50" s="215"/>
      <c r="E50" s="164"/>
      <c r="F50" s="215"/>
      <c r="G50" s="227"/>
      <c r="H50" s="218"/>
      <c r="I50" s="215"/>
      <c r="J50" s="239"/>
      <c r="K50" s="224"/>
      <c r="L50" s="233"/>
      <c r="M50" s="221"/>
      <c r="N50" s="167">
        <f ca="1">IF(NOT(ISERROR(MATCH(M50,_xlfn.ANCHORARRAY(H73),0))),L75&amp;"Por favor no seleccionar los criterios de impacto",M50)</f>
        <v>0</v>
      </c>
      <c r="O50" s="224"/>
      <c r="P50" s="233"/>
      <c r="Q50" s="236"/>
      <c r="R50" s="124">
        <v>4</v>
      </c>
      <c r="S50" s="169"/>
      <c r="T50" s="125" t="str">
        <f t="shared" si="0"/>
        <v/>
      </c>
      <c r="U50" s="126"/>
      <c r="V50" s="126"/>
      <c r="W50" s="127" t="str">
        <f t="shared" ref="W50:W52" si="60">IF(AND(U50="Preventivo",V50="Automático"),"50%",IF(AND(U50="Preventivo",V50="Manual"),"40%",IF(AND(U50="Detectivo",V50="Automático"),"40%",IF(AND(U50="Detectivo",V50="Manual"),"30%",IF(AND(U50="Correctivo",V50="Automático"),"35%",IF(AND(U50="Correctivo",V50="Manual"),"25%",""))))))</f>
        <v/>
      </c>
      <c r="X50" s="126"/>
      <c r="Y50" s="126"/>
      <c r="Z50" s="126"/>
      <c r="AA50" s="128" t="str">
        <f t="shared" ref="AA50:AA52" si="61">IFERROR(IF(AND(T49="Probabilidad",T50="Probabilidad"),(AC49-(+AC49*W50)),IF(AND(T49="Impacto",T50="Probabilidad"),(AC48-(+AC48*W50)),IF(T50="Impacto",AC49,""))),"")</f>
        <v/>
      </c>
      <c r="AB50" s="129" t="str">
        <f t="shared" si="2"/>
        <v/>
      </c>
      <c r="AC50" s="130" t="str">
        <f t="shared" si="56"/>
        <v/>
      </c>
      <c r="AD50" s="129" t="str">
        <f t="shared" si="4"/>
        <v/>
      </c>
      <c r="AE50" s="138" t="str">
        <f t="shared" ref="AE50:AE52" si="62">IFERROR(IF(AND(T49="Impacto",T50="Impacto"),(AE49-(+AE49*W50)),IF(AND(T49="Probabilidad",T50="Impacto"),(AE48-(+AE48*W50)),IF(T50="Probabilidad",AE49,""))),"")</f>
        <v/>
      </c>
      <c r="AF50" s="131" t="str">
        <f>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2"/>
      <c r="AH50" s="133"/>
      <c r="AI50" s="134"/>
      <c r="AJ50" s="135"/>
      <c r="AK50" s="135"/>
      <c r="AL50" s="133"/>
      <c r="AM50" s="134"/>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row>
    <row r="51" spans="1:71" ht="68.45" customHeight="1" x14ac:dyDescent="0.3">
      <c r="A51" s="212"/>
      <c r="B51" s="215"/>
      <c r="C51" s="215"/>
      <c r="D51" s="215"/>
      <c r="E51" s="164"/>
      <c r="F51" s="215"/>
      <c r="G51" s="227"/>
      <c r="H51" s="218"/>
      <c r="I51" s="215"/>
      <c r="J51" s="239"/>
      <c r="K51" s="224"/>
      <c r="L51" s="233"/>
      <c r="M51" s="221"/>
      <c r="N51" s="167">
        <f ca="1">IF(NOT(ISERROR(MATCH(M51,_xlfn.ANCHORARRAY(H74),0))),L76&amp;"Por favor no seleccionar los criterios de impacto",M51)</f>
        <v>0</v>
      </c>
      <c r="O51" s="224"/>
      <c r="P51" s="233"/>
      <c r="Q51" s="236"/>
      <c r="R51" s="124">
        <v>5</v>
      </c>
      <c r="S51" s="169"/>
      <c r="T51" s="125" t="str">
        <f t="shared" si="0"/>
        <v/>
      </c>
      <c r="U51" s="126"/>
      <c r="V51" s="126"/>
      <c r="W51" s="127" t="str">
        <f t="shared" si="60"/>
        <v/>
      </c>
      <c r="X51" s="126"/>
      <c r="Y51" s="126"/>
      <c r="Z51" s="126"/>
      <c r="AA51" s="128" t="str">
        <f t="shared" si="61"/>
        <v/>
      </c>
      <c r="AB51" s="129" t="str">
        <f t="shared" si="2"/>
        <v/>
      </c>
      <c r="AC51" s="130" t="str">
        <f t="shared" si="56"/>
        <v/>
      </c>
      <c r="AD51" s="129" t="str">
        <f t="shared" si="4"/>
        <v/>
      </c>
      <c r="AE51" s="138" t="str">
        <f t="shared" si="62"/>
        <v/>
      </c>
      <c r="AF51" s="131" t="str">
        <f t="shared" ref="AF51:AF52" si="63">IFERROR(IF(OR(AND(AB51="Muy Baja",AD51="Leve"),AND(AB51="Muy Baja",AD51="Menor"),AND(AB51="Baja",AD51="Leve")),"Bajo",IF(OR(AND(AB51="Muy baja",AD51="Moderado"),AND(AB51="Baja",AD51="Menor"),AND(AB51="Baja",AD51="Moderado"),AND(AB51="Media",AD51="Leve"),AND(AB51="Media",AD51="Menor"),AND(AB51="Media",AD51="Moderado"),AND(AB51="Alta",AD51="Leve"),AND(AB51="Alta",AD51="Menor")),"Moderado",IF(OR(AND(AB51="Muy Baja",AD51="Mayor"),AND(AB51="Baja",AD51="Mayor"),AND(AB51="Media",AD51="Mayor"),AND(AB51="Alta",AD51="Moderado"),AND(AB51="Alta",AD51="Mayor"),AND(AB51="Muy Alta",AD51="Leve"),AND(AB51="Muy Alta",AD51="Menor"),AND(AB51="Muy Alta",AD51="Moderado"),AND(AB51="Muy Alta",AD51="Mayor")),"Alto",IF(OR(AND(AB51="Muy Baja",AD51="Catastrófico"),AND(AB51="Baja",AD51="Catastrófico"),AND(AB51="Media",AD51="Catastrófico"),AND(AB51="Alta",AD51="Catastrófico"),AND(AB51="Muy Alta",AD51="Catastrófico")),"Extremo","")))),"")</f>
        <v/>
      </c>
      <c r="AG51" s="132"/>
      <c r="AH51" s="133"/>
      <c r="AI51" s="134"/>
      <c r="AJ51" s="135"/>
      <c r="AK51" s="135"/>
      <c r="AL51" s="133"/>
      <c r="AM51" s="134"/>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row>
    <row r="52" spans="1:71" ht="68.45" customHeight="1" x14ac:dyDescent="0.3">
      <c r="A52" s="213"/>
      <c r="B52" s="216"/>
      <c r="C52" s="216"/>
      <c r="D52" s="216"/>
      <c r="E52" s="165"/>
      <c r="F52" s="216"/>
      <c r="G52" s="228"/>
      <c r="H52" s="219"/>
      <c r="I52" s="216"/>
      <c r="J52" s="240"/>
      <c r="K52" s="225"/>
      <c r="L52" s="234"/>
      <c r="M52" s="222"/>
      <c r="N52" s="168">
        <f ca="1">IF(NOT(ISERROR(MATCH(M52,_xlfn.ANCHORARRAY(H75),0))),L77&amp;"Por favor no seleccionar los criterios de impacto",M52)</f>
        <v>0</v>
      </c>
      <c r="O52" s="225"/>
      <c r="P52" s="234"/>
      <c r="Q52" s="237"/>
      <c r="R52" s="124">
        <v>6</v>
      </c>
      <c r="S52" s="169"/>
      <c r="T52" s="125" t="str">
        <f t="shared" si="0"/>
        <v/>
      </c>
      <c r="U52" s="126"/>
      <c r="V52" s="126"/>
      <c r="W52" s="127" t="str">
        <f t="shared" si="60"/>
        <v/>
      </c>
      <c r="X52" s="126"/>
      <c r="Y52" s="126"/>
      <c r="Z52" s="126"/>
      <c r="AA52" s="128" t="str">
        <f t="shared" si="61"/>
        <v/>
      </c>
      <c r="AB52" s="129" t="str">
        <f t="shared" si="2"/>
        <v/>
      </c>
      <c r="AC52" s="130" t="str">
        <f t="shared" si="56"/>
        <v/>
      </c>
      <c r="AD52" s="129" t="str">
        <f t="shared" si="4"/>
        <v/>
      </c>
      <c r="AE52" s="138" t="str">
        <f t="shared" si="62"/>
        <v/>
      </c>
      <c r="AF52" s="131" t="str">
        <f t="shared" si="63"/>
        <v/>
      </c>
      <c r="AG52" s="132"/>
      <c r="AH52" s="133"/>
      <c r="AI52" s="134"/>
      <c r="AJ52" s="135"/>
      <c r="AK52" s="135"/>
      <c r="AL52" s="133"/>
      <c r="AM52" s="134"/>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68.45" customHeight="1" x14ac:dyDescent="0.3">
      <c r="A53" s="211">
        <v>7</v>
      </c>
      <c r="B53" s="214" t="s">
        <v>184</v>
      </c>
      <c r="C53" s="214" t="s">
        <v>307</v>
      </c>
      <c r="D53" s="214" t="s">
        <v>116</v>
      </c>
      <c r="E53" s="164" t="s">
        <v>308</v>
      </c>
      <c r="F53" s="214" t="s">
        <v>350</v>
      </c>
      <c r="G53" s="226" t="s">
        <v>194</v>
      </c>
      <c r="H53" s="217" t="s">
        <v>351</v>
      </c>
      <c r="I53" s="214" t="s">
        <v>211</v>
      </c>
      <c r="J53" s="238">
        <v>2</v>
      </c>
      <c r="K53" s="223" t="str">
        <f>IF(J53&lt;=0,"",IF(J53&lt;=2,"Muy Baja",IF(J53&lt;=24,"Baja",IF(J53&lt;=500,"Media",IF(J53&lt;=5000,"Alta","Muy Alta")))))</f>
        <v>Muy Baja</v>
      </c>
      <c r="L53" s="232">
        <f>IF(K53="","",IF(K53="Muy Baja",0.2,IF(K53="Baja",0.4,IF(K53="Media",0.6,IF(K53="Alta",0.8,IF(K53="Muy Alta",1,))))))</f>
        <v>0.2</v>
      </c>
      <c r="M53" s="220" t="s">
        <v>137</v>
      </c>
      <c r="N53" s="166" t="str">
        <f ca="1">IF(NOT(ISERROR(MATCH(M53,'Tabla Impacto'!$B$221:$B$223,0))),'Tabla Impacto'!$F$223&amp;"Por favor no seleccionar los criterios de impacto(Afectación Económica o presupuestal y Pérdida Reputacional)",M53)</f>
        <v xml:space="preserve">     El riesgo afecta la imagen de la entidad con algunos usuarios de relevancia frente al logro de los objetivos</v>
      </c>
      <c r="O53" s="223" t="str">
        <f ca="1">IF(OR(N53='Tabla Impacto'!$C$11,N53='Tabla Impacto'!$D$11),"Leve",IF(OR(N53='Tabla Impacto'!$C$12,N53='Tabla Impacto'!$D$12),"Menor",IF(OR(N53='Tabla Impacto'!$C$13,N53='Tabla Impacto'!$D$13),"Moderado",IF(OR(N53='Tabla Impacto'!$C$14,N53='Tabla Impacto'!$D$14),"Mayor",IF(OR(N53='Tabla Impacto'!$C$15,N53='Tabla Impacto'!$D$15),"Catastrófico","")))))</f>
        <v>Moderado</v>
      </c>
      <c r="P53" s="232">
        <f ca="1">IF(O53="","",IF(O53="Leve",0.2,IF(O53="Menor",0.4,IF(O53="Moderado",0.6,IF(O53="Mayor",0.8,IF(O53="Catastrófico",1,))))))</f>
        <v>0.6</v>
      </c>
      <c r="Q53" s="235" t="str">
        <f ca="1">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Moderado</v>
      </c>
      <c r="R53" s="124">
        <v>1</v>
      </c>
      <c r="S53" s="169" t="s">
        <v>333</v>
      </c>
      <c r="T53" s="125" t="str">
        <f t="shared" ref="T53:T58" si="64">IF(OR(U53="Preventivo",U53="Detectivo"),"Probabilidad",IF(U53="Correctivo","Impacto",""))</f>
        <v>Probabilidad</v>
      </c>
      <c r="U53" s="126" t="s">
        <v>13</v>
      </c>
      <c r="V53" s="126" t="s">
        <v>8</v>
      </c>
      <c r="W53" s="127" t="str">
        <f>IF(AND(U53="Preventivo",V53="Automático"),"50%",IF(AND(U53="Preventivo",V53="Manual"),"40%",IF(AND(U53="Detectivo",V53="Automático"),"40%",IF(AND(U53="Detectivo",V53="Manual"),"30%",IF(AND(U53="Correctivo",V53="Automático"),"35%",IF(AND(U53="Correctivo",V53="Manual"),"25%",""))))))</f>
        <v>40%</v>
      </c>
      <c r="X53" s="126" t="s">
        <v>18</v>
      </c>
      <c r="Y53" s="126" t="s">
        <v>21</v>
      </c>
      <c r="Z53" s="126" t="s">
        <v>111</v>
      </c>
      <c r="AA53" s="128">
        <f>IFERROR(IF(T53="Probabilidad",(L53-(+L53*W53)),IF(T53="Impacto",L53,"")),"")</f>
        <v>0.12</v>
      </c>
      <c r="AB53" s="129" t="str">
        <f>IFERROR(IF(AA53="","",IF(AA53&lt;=0.2,"Muy Baja",IF(AA53&lt;=0.4,"Baja",IF(AA53&lt;=0.6,"Media",IF(AA53&lt;=0.8,"Alta","Muy Alta"))))),"")</f>
        <v>Muy Baja</v>
      </c>
      <c r="AC53" s="130">
        <f>+AA53</f>
        <v>0.12</v>
      </c>
      <c r="AD53" s="129" t="str">
        <f ca="1">IFERROR(IF(AE53="","",IF(AE53&lt;=0.2,"Leve",IF(AE53&lt;=0.4,"Menor",IF(AE53&lt;=0.6,"Moderado",IF(AE53&lt;=0.8,"Mayor","Catastrófico"))))),"")</f>
        <v>Moderado</v>
      </c>
      <c r="AE53" s="138">
        <f ca="1">IFERROR(IF(T53="Impacto",(P53-(+P53*W53)),IF(T53="Probabilidad",P53,"")),"")</f>
        <v>0.6</v>
      </c>
      <c r="AF53" s="131" t="str">
        <f ca="1">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32" t="s">
        <v>30</v>
      </c>
      <c r="AH53" s="133"/>
      <c r="AI53" s="134"/>
      <c r="AJ53" s="135"/>
      <c r="AK53" s="135"/>
      <c r="AL53" s="133"/>
      <c r="AM53" s="134"/>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row>
    <row r="54" spans="1:71" ht="68.45" customHeight="1" x14ac:dyDescent="0.3">
      <c r="A54" s="212"/>
      <c r="B54" s="215"/>
      <c r="C54" s="215"/>
      <c r="D54" s="215"/>
      <c r="E54" s="164"/>
      <c r="F54" s="215"/>
      <c r="G54" s="227"/>
      <c r="H54" s="218"/>
      <c r="I54" s="215"/>
      <c r="J54" s="239"/>
      <c r="K54" s="224"/>
      <c r="L54" s="233"/>
      <c r="M54" s="221"/>
      <c r="N54" s="167">
        <f ca="1">IF(NOT(ISERROR(MATCH(M54,_xlfn.ANCHORARRAY(H77),0))),L79&amp;"Por favor no seleccionar los criterios de impacto",M54)</f>
        <v>0</v>
      </c>
      <c r="O54" s="224"/>
      <c r="P54" s="233"/>
      <c r="Q54" s="236"/>
      <c r="R54" s="124">
        <v>2</v>
      </c>
      <c r="S54" s="169"/>
      <c r="T54" s="125" t="str">
        <f t="shared" si="64"/>
        <v/>
      </c>
      <c r="U54" s="126"/>
      <c r="V54" s="126"/>
      <c r="W54" s="127" t="str">
        <f t="shared" ref="W54:W58" si="65">IF(AND(U54="Preventivo",V54="Automático"),"50%",IF(AND(U54="Preventivo",V54="Manual"),"40%",IF(AND(U54="Detectivo",V54="Automático"),"40%",IF(AND(U54="Detectivo",V54="Manual"),"30%",IF(AND(U54="Correctivo",V54="Automático"),"35%",IF(AND(U54="Correctivo",V54="Manual"),"25%",""))))))</f>
        <v/>
      </c>
      <c r="X54" s="126"/>
      <c r="Y54" s="126"/>
      <c r="Z54" s="126"/>
      <c r="AA54" s="128" t="str">
        <f>IFERROR(IF(AND(T53="Probabilidad",T54="Probabilidad"),(AC53-(+AC53*W54)),IF(T54="Probabilidad",(L53-(+L53*W54)),IF(T54="Impacto",AC53,""))),"")</f>
        <v/>
      </c>
      <c r="AB54" s="129" t="str">
        <f t="shared" ref="AB54:AB58" si="66">IFERROR(IF(AA54="","",IF(AA54&lt;=0.2,"Muy Baja",IF(AA54&lt;=0.4,"Baja",IF(AA54&lt;=0.6,"Media",IF(AA54&lt;=0.8,"Alta","Muy Alta"))))),"")</f>
        <v/>
      </c>
      <c r="AC54" s="130" t="str">
        <f t="shared" ref="AC54:AC58" si="67">+AA54</f>
        <v/>
      </c>
      <c r="AD54" s="129" t="str">
        <f t="shared" ref="AD54:AD58" si="68">IFERROR(IF(AE54="","",IF(AE54&lt;=0.2,"Leve",IF(AE54&lt;=0.4,"Menor",IF(AE54&lt;=0.6,"Moderado",IF(AE54&lt;=0.8,"Mayor","Catastrófico"))))),"")</f>
        <v/>
      </c>
      <c r="AE54" s="138" t="str">
        <f>IFERROR(IF(AND(T53="Impacto",T54="Impacto"),(AE53-(+AE53*W54)),IF(T54="Impacto",(P53-(+P53*W54)),IF(T54="Probabilidad",AE53,""))),"")</f>
        <v/>
      </c>
      <c r="AF54" s="131" t="str">
        <f t="shared" ref="AF54:AF55" si="69">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
      </c>
      <c r="AG54" s="132"/>
      <c r="AH54" s="133"/>
      <c r="AI54" s="134"/>
      <c r="AJ54" s="135"/>
      <c r="AK54" s="135"/>
      <c r="AL54" s="133"/>
      <c r="AM54" s="134"/>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68.45" customHeight="1" x14ac:dyDescent="0.3">
      <c r="A55" s="212"/>
      <c r="B55" s="215"/>
      <c r="C55" s="215"/>
      <c r="D55" s="215"/>
      <c r="E55" s="164"/>
      <c r="F55" s="215"/>
      <c r="G55" s="227"/>
      <c r="H55" s="218"/>
      <c r="I55" s="215"/>
      <c r="J55" s="239"/>
      <c r="K55" s="224"/>
      <c r="L55" s="233"/>
      <c r="M55" s="221"/>
      <c r="N55" s="167">
        <f ca="1">IF(NOT(ISERROR(MATCH(M55,_xlfn.ANCHORARRAY(H78),0))),L80&amp;"Por favor no seleccionar los criterios de impacto",M55)</f>
        <v>0</v>
      </c>
      <c r="O55" s="224"/>
      <c r="P55" s="233"/>
      <c r="Q55" s="236"/>
      <c r="R55" s="124">
        <v>3</v>
      </c>
      <c r="S55" s="136"/>
      <c r="T55" s="125" t="str">
        <f t="shared" si="64"/>
        <v/>
      </c>
      <c r="U55" s="126"/>
      <c r="V55" s="126"/>
      <c r="W55" s="127" t="str">
        <f t="shared" si="65"/>
        <v/>
      </c>
      <c r="X55" s="126"/>
      <c r="Y55" s="126"/>
      <c r="Z55" s="126"/>
      <c r="AA55" s="128" t="str">
        <f>IFERROR(IF(AND(T54="Probabilidad",T55="Probabilidad"),(AC54-(+AC54*W55)),IF(AND(T54="Impacto",T55="Probabilidad"),(AC53-(+AC53*W55)),IF(T55="Impacto",AC54,""))),"")</f>
        <v/>
      </c>
      <c r="AB55" s="129" t="str">
        <f t="shared" si="66"/>
        <v/>
      </c>
      <c r="AC55" s="130" t="str">
        <f t="shared" si="67"/>
        <v/>
      </c>
      <c r="AD55" s="129" t="str">
        <f t="shared" si="68"/>
        <v/>
      </c>
      <c r="AE55" s="138" t="str">
        <f>IFERROR(IF(AND(T54="Impacto",T55="Impacto"),(AE54-(+AE54*W55)),IF(AND(T54="Probabilidad",T55="Impacto"),(AE53-(+AE53*W55)),IF(T55="Probabilidad",AE54,""))),"")</f>
        <v/>
      </c>
      <c r="AF55" s="131" t="str">
        <f t="shared" si="69"/>
        <v/>
      </c>
      <c r="AG55" s="132"/>
      <c r="AH55" s="133"/>
      <c r="AI55" s="134"/>
      <c r="AJ55" s="135"/>
      <c r="AK55" s="135"/>
      <c r="AL55" s="133"/>
      <c r="AM55" s="134"/>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68.45" customHeight="1" x14ac:dyDescent="0.3">
      <c r="A56" s="212"/>
      <c r="B56" s="215"/>
      <c r="C56" s="215"/>
      <c r="D56" s="215"/>
      <c r="E56" s="164"/>
      <c r="F56" s="215"/>
      <c r="G56" s="227"/>
      <c r="H56" s="218"/>
      <c r="I56" s="215"/>
      <c r="J56" s="239"/>
      <c r="K56" s="224"/>
      <c r="L56" s="233"/>
      <c r="M56" s="221"/>
      <c r="N56" s="167">
        <f ca="1">IF(NOT(ISERROR(MATCH(M56,_xlfn.ANCHORARRAY(H79),0))),L81&amp;"Por favor no seleccionar los criterios de impacto",M56)</f>
        <v>0</v>
      </c>
      <c r="O56" s="224"/>
      <c r="P56" s="233"/>
      <c r="Q56" s="236"/>
      <c r="R56" s="124">
        <v>4</v>
      </c>
      <c r="S56" s="169"/>
      <c r="T56" s="125" t="str">
        <f t="shared" si="64"/>
        <v/>
      </c>
      <c r="U56" s="126"/>
      <c r="V56" s="126"/>
      <c r="W56" s="127" t="str">
        <f t="shared" si="65"/>
        <v/>
      </c>
      <c r="X56" s="126"/>
      <c r="Y56" s="126"/>
      <c r="Z56" s="126"/>
      <c r="AA56" s="128" t="str">
        <f t="shared" ref="AA56:AA58" si="70">IFERROR(IF(AND(T55="Probabilidad",T56="Probabilidad"),(AC55-(+AC55*W56)),IF(AND(T55="Impacto",T56="Probabilidad"),(AC54-(+AC54*W56)),IF(T56="Impacto",AC55,""))),"")</f>
        <v/>
      </c>
      <c r="AB56" s="129" t="str">
        <f t="shared" si="66"/>
        <v/>
      </c>
      <c r="AC56" s="130" t="str">
        <f t="shared" si="67"/>
        <v/>
      </c>
      <c r="AD56" s="129" t="str">
        <f t="shared" si="68"/>
        <v/>
      </c>
      <c r="AE56" s="138" t="str">
        <f t="shared" ref="AE56:AE58" si="71">IFERROR(IF(AND(T55="Impacto",T56="Impacto"),(AE55-(+AE55*W56)),IF(AND(T55="Probabilidad",T56="Impacto"),(AE54-(+AE54*W56)),IF(T56="Probabilidad",AE55,""))),"")</f>
        <v/>
      </c>
      <c r="AF56" s="131" t="str">
        <f>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2"/>
      <c r="AH56" s="133"/>
      <c r="AI56" s="134"/>
      <c r="AJ56" s="135"/>
      <c r="AK56" s="135"/>
      <c r="AL56" s="133"/>
      <c r="AM56" s="134"/>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row>
    <row r="57" spans="1:71" ht="68.45" customHeight="1" x14ac:dyDescent="0.3">
      <c r="A57" s="212"/>
      <c r="B57" s="215"/>
      <c r="C57" s="215"/>
      <c r="D57" s="215"/>
      <c r="E57" s="164"/>
      <c r="F57" s="215"/>
      <c r="G57" s="227"/>
      <c r="H57" s="218"/>
      <c r="I57" s="215"/>
      <c r="J57" s="239"/>
      <c r="K57" s="224"/>
      <c r="L57" s="233"/>
      <c r="M57" s="221"/>
      <c r="N57" s="167">
        <f ca="1">IF(NOT(ISERROR(MATCH(M57,_xlfn.ANCHORARRAY(H80),0))),L82&amp;"Por favor no seleccionar los criterios de impacto",M57)</f>
        <v>0</v>
      </c>
      <c r="O57" s="224"/>
      <c r="P57" s="233"/>
      <c r="Q57" s="236"/>
      <c r="R57" s="124">
        <v>5</v>
      </c>
      <c r="S57" s="169"/>
      <c r="T57" s="125" t="str">
        <f t="shared" si="64"/>
        <v/>
      </c>
      <c r="U57" s="126"/>
      <c r="V57" s="126"/>
      <c r="W57" s="127" t="str">
        <f t="shared" si="65"/>
        <v/>
      </c>
      <c r="X57" s="126"/>
      <c r="Y57" s="126"/>
      <c r="Z57" s="126"/>
      <c r="AA57" s="128" t="str">
        <f t="shared" si="70"/>
        <v/>
      </c>
      <c r="AB57" s="129" t="str">
        <f t="shared" si="66"/>
        <v/>
      </c>
      <c r="AC57" s="130" t="str">
        <f t="shared" si="67"/>
        <v/>
      </c>
      <c r="AD57" s="129" t="str">
        <f t="shared" si="68"/>
        <v/>
      </c>
      <c r="AE57" s="138" t="str">
        <f t="shared" si="71"/>
        <v/>
      </c>
      <c r="AF57" s="131" t="str">
        <f t="shared" ref="AF57:AF58" si="72">IFERROR(IF(OR(AND(AB57="Muy Baja",AD57="Leve"),AND(AB57="Muy Baja",AD57="Menor"),AND(AB57="Baja",AD57="Leve")),"Bajo",IF(OR(AND(AB57="Muy baja",AD57="Moderado"),AND(AB57="Baja",AD57="Menor"),AND(AB57="Baja",AD57="Moderado"),AND(AB57="Media",AD57="Leve"),AND(AB57="Media",AD57="Menor"),AND(AB57="Media",AD57="Moderado"),AND(AB57="Alta",AD57="Leve"),AND(AB57="Alta",AD57="Menor")),"Moderado",IF(OR(AND(AB57="Muy Baja",AD57="Mayor"),AND(AB57="Baja",AD57="Mayor"),AND(AB57="Media",AD57="Mayor"),AND(AB57="Alta",AD57="Moderado"),AND(AB57="Alta",AD57="Mayor"),AND(AB57="Muy Alta",AD57="Leve"),AND(AB57="Muy Alta",AD57="Menor"),AND(AB57="Muy Alta",AD57="Moderado"),AND(AB57="Muy Alta",AD57="Mayor")),"Alto",IF(OR(AND(AB57="Muy Baja",AD57="Catastrófico"),AND(AB57="Baja",AD57="Catastrófico"),AND(AB57="Media",AD57="Catastrófico"),AND(AB57="Alta",AD57="Catastrófico"),AND(AB57="Muy Alta",AD57="Catastrófico")),"Extremo","")))),"")</f>
        <v/>
      </c>
      <c r="AG57" s="132"/>
      <c r="AH57" s="133"/>
      <c r="AI57" s="134"/>
      <c r="AJ57" s="135"/>
      <c r="AK57" s="135"/>
      <c r="AL57" s="133"/>
      <c r="AM57" s="134"/>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row>
    <row r="58" spans="1:71" ht="68.45" customHeight="1" x14ac:dyDescent="0.3">
      <c r="A58" s="213"/>
      <c r="B58" s="216"/>
      <c r="C58" s="216"/>
      <c r="D58" s="216"/>
      <c r="E58" s="165"/>
      <c r="F58" s="216"/>
      <c r="G58" s="228"/>
      <c r="H58" s="219"/>
      <c r="I58" s="216"/>
      <c r="J58" s="240"/>
      <c r="K58" s="225"/>
      <c r="L58" s="234"/>
      <c r="M58" s="222"/>
      <c r="N58" s="168">
        <f ca="1">IF(NOT(ISERROR(MATCH(M58,_xlfn.ANCHORARRAY(H81),0))),L83&amp;"Por favor no seleccionar los criterios de impacto",M58)</f>
        <v>0</v>
      </c>
      <c r="O58" s="225"/>
      <c r="P58" s="234"/>
      <c r="Q58" s="237"/>
      <c r="R58" s="124">
        <v>6</v>
      </c>
      <c r="S58" s="169"/>
      <c r="T58" s="125" t="str">
        <f t="shared" si="64"/>
        <v/>
      </c>
      <c r="U58" s="126"/>
      <c r="V58" s="126"/>
      <c r="W58" s="127" t="str">
        <f t="shared" si="65"/>
        <v/>
      </c>
      <c r="X58" s="126"/>
      <c r="Y58" s="126"/>
      <c r="Z58" s="126"/>
      <c r="AA58" s="128" t="str">
        <f t="shared" si="70"/>
        <v/>
      </c>
      <c r="AB58" s="129" t="str">
        <f t="shared" si="66"/>
        <v/>
      </c>
      <c r="AC58" s="130" t="str">
        <f t="shared" si="67"/>
        <v/>
      </c>
      <c r="AD58" s="129" t="str">
        <f t="shared" si="68"/>
        <v/>
      </c>
      <c r="AE58" s="138" t="str">
        <f t="shared" si="71"/>
        <v/>
      </c>
      <c r="AF58" s="131" t="str">
        <f t="shared" si="72"/>
        <v/>
      </c>
      <c r="AG58" s="132"/>
      <c r="AH58" s="133"/>
      <c r="AI58" s="134"/>
      <c r="AJ58" s="135"/>
      <c r="AK58" s="135"/>
      <c r="AL58" s="133"/>
      <c r="AM58" s="134"/>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row>
    <row r="59" spans="1:71" ht="68.45" customHeight="1" x14ac:dyDescent="0.3">
      <c r="A59" s="211">
        <v>8</v>
      </c>
      <c r="B59" s="214" t="s">
        <v>189</v>
      </c>
      <c r="C59" s="214" t="s">
        <v>305</v>
      </c>
      <c r="D59" s="214" t="s">
        <v>116</v>
      </c>
      <c r="E59" s="163" t="s">
        <v>334</v>
      </c>
      <c r="F59" s="214" t="s">
        <v>335</v>
      </c>
      <c r="G59" s="226" t="s">
        <v>196</v>
      </c>
      <c r="H59" s="226" t="s">
        <v>336</v>
      </c>
      <c r="I59" s="214" t="s">
        <v>216</v>
      </c>
      <c r="J59" s="238">
        <v>340</v>
      </c>
      <c r="K59" s="223" t="str">
        <f>IF(J59&lt;=0,"",IF(J59&lt;=2,"Muy Baja",IF(J59&lt;=24,"Baja",IF(J59&lt;=500,"Media",IF(J59&lt;=5000,"Alta","Muy Alta")))))</f>
        <v>Media</v>
      </c>
      <c r="L59" s="232">
        <f>IF(K59="","",IF(K59="Muy Baja",0.2,IF(K59="Baja",0.4,IF(K59="Media",0.6,IF(K59="Alta",0.8,IF(K59="Muy Alta",1,))))))</f>
        <v>0.6</v>
      </c>
      <c r="M59" s="220" t="s">
        <v>136</v>
      </c>
      <c r="N59" s="232" t="str">
        <f ca="1">IF(NOT(ISERROR(MATCH(M59,'Tabla Impacto'!$B$221:$B$223,0))),'Tabla Impacto'!$F$223&amp;"Por favor no seleccionar los criterios de impacto(Afectación Económica o presupuestal y Pérdida Reputacional)",M59)</f>
        <v xml:space="preserve">     El riesgo afecta la imagen de la entidad internamente, de conocimiento general, nivel interno, de junta dircetiva y accionistas y/o de provedores</v>
      </c>
      <c r="O59" s="223" t="str">
        <f ca="1">IF(OR(N59='Tabla Impacto'!$C$11,N59='Tabla Impacto'!$D$11),"Leve",IF(OR(N59='Tabla Impacto'!$C$12,N59='Tabla Impacto'!$D$12),"Menor",IF(OR(N59='Tabla Impacto'!$C$13,N59='Tabla Impacto'!$D$13),"Moderado",IF(OR(N59='Tabla Impacto'!$C$14,N59='Tabla Impacto'!$D$14),"Mayor",IF(OR(N59='Tabla Impacto'!$C$15,N59='Tabla Impacto'!$D$15),"Catastrófico","")))))</f>
        <v>Menor</v>
      </c>
      <c r="P59" s="232">
        <f ca="1">IF(O59="","",IF(O59="Leve",0.2,IF(O59="Menor",0.4,IF(O59="Moderado",0.6,IF(O59="Mayor",0.8,IF(O59="Catastrófico",1,))))))</f>
        <v>0.4</v>
      </c>
      <c r="Q59" s="235" t="str">
        <f ca="1">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Moderado</v>
      </c>
      <c r="R59" s="124">
        <v>1</v>
      </c>
      <c r="S59" s="169" t="s">
        <v>337</v>
      </c>
      <c r="T59" s="125" t="str">
        <f t="shared" ref="T59:T76" si="73">IF(OR(U59="Preventivo",U59="Detectivo"),"Probabilidad",IF(U59="Correctivo","Impacto",""))</f>
        <v>Impacto</v>
      </c>
      <c r="U59" s="126" t="s">
        <v>15</v>
      </c>
      <c r="V59" s="126" t="s">
        <v>9</v>
      </c>
      <c r="W59" s="127" t="str">
        <f>IF(AND(U59="Preventivo",V59="Automático"),"50%",IF(AND(U59="Preventivo",V59="Manual"),"40%",IF(AND(U59="Detectivo",V59="Automático"),"40%",IF(AND(U59="Detectivo",V59="Manual"),"30%",IF(AND(U59="Correctivo",V59="Automático"),"35%",IF(AND(U59="Correctivo",V59="Manual"),"25%",""))))))</f>
        <v>35%</v>
      </c>
      <c r="X59" s="126" t="s">
        <v>18</v>
      </c>
      <c r="Y59" s="126" t="s">
        <v>21</v>
      </c>
      <c r="Z59" s="126" t="s">
        <v>111</v>
      </c>
      <c r="AA59" s="128">
        <f>IFERROR(IF(T59="Probabilidad",(L59-(+L59*W59)),IF(T59="Impacto",L59,"")),"")</f>
        <v>0.6</v>
      </c>
      <c r="AB59" s="129" t="str">
        <f>IFERROR(IF(AA59="","",IF(AA59&lt;=0.2,"Muy Baja",IF(AA59&lt;=0.4,"Baja",IF(AA59&lt;=0.6,"Media",IF(AA59&lt;=0.8,"Alta","Muy Alta"))))),"")</f>
        <v>Media</v>
      </c>
      <c r="AC59" s="130">
        <f>+AA59</f>
        <v>0.6</v>
      </c>
      <c r="AD59" s="129" t="str">
        <f ca="1">IFERROR(IF(AE59="","",IF(AE59&lt;=0.2,"Leve",IF(AE59&lt;=0.4,"Menor",IF(AE59&lt;=0.6,"Moderado",IF(AE59&lt;=0.8,"Mayor","Catastrófico"))))),"")</f>
        <v>Menor</v>
      </c>
      <c r="AE59" s="138">
        <f ca="1">IFERROR(IF(T59="Impacto",(P59-(+P59*W59)),IF(T59="Probabilidad",P59,"")),"")</f>
        <v>0.26</v>
      </c>
      <c r="AF59" s="131" t="str">
        <f ca="1">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32" t="s">
        <v>30</v>
      </c>
      <c r="AH59" s="133"/>
      <c r="AI59" s="134"/>
      <c r="AJ59" s="135"/>
      <c r="AK59" s="135"/>
      <c r="AL59" s="133"/>
      <c r="AM59" s="134"/>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row>
    <row r="60" spans="1:71" ht="68.45" customHeight="1" x14ac:dyDescent="0.3">
      <c r="A60" s="212"/>
      <c r="B60" s="215"/>
      <c r="C60" s="215"/>
      <c r="D60" s="215"/>
      <c r="E60" s="164"/>
      <c r="F60" s="215"/>
      <c r="G60" s="227"/>
      <c r="H60" s="227"/>
      <c r="I60" s="215"/>
      <c r="J60" s="239"/>
      <c r="K60" s="224"/>
      <c r="L60" s="233"/>
      <c r="M60" s="221"/>
      <c r="N60" s="233">
        <f ca="1">IF(NOT(ISERROR(MATCH(M60,_xlfn.ANCHORARRAY(H77),0))),L79&amp;"Por favor no seleccionar los criterios de impacto",M60)</f>
        <v>0</v>
      </c>
      <c r="O60" s="224"/>
      <c r="P60" s="233"/>
      <c r="Q60" s="236"/>
      <c r="R60" s="124">
        <v>2</v>
      </c>
      <c r="S60" s="169" t="s">
        <v>310</v>
      </c>
      <c r="T60" s="125" t="str">
        <f t="shared" si="73"/>
        <v>Probabilidad</v>
      </c>
      <c r="U60" s="126" t="s">
        <v>13</v>
      </c>
      <c r="V60" s="126" t="s">
        <v>8</v>
      </c>
      <c r="W60" s="127" t="str">
        <f t="shared" ref="W60:W70" si="74">IF(AND(U60="Preventivo",V60="Automático"),"50%",IF(AND(U60="Preventivo",V60="Manual"),"40%",IF(AND(U60="Detectivo",V60="Automático"),"40%",IF(AND(U60="Detectivo",V60="Manual"),"30%",IF(AND(U60="Correctivo",V60="Automático"),"35%",IF(AND(U60="Correctivo",V60="Manual"),"25%",""))))))</f>
        <v>40%</v>
      </c>
      <c r="X60" s="126" t="s">
        <v>18</v>
      </c>
      <c r="Y60" s="126" t="s">
        <v>21</v>
      </c>
      <c r="Z60" s="126" t="s">
        <v>111</v>
      </c>
      <c r="AA60" s="128">
        <f>IFERROR(IF(AND(T59="Probabilidad",T60="Probabilidad"),(AC59-(+AC59*W60)),IF(T60="Probabilidad",(L59-(+L59*W60)),IF(T60="Impacto",AC59,""))),"")</f>
        <v>0.36</v>
      </c>
      <c r="AB60" s="129" t="str">
        <f t="shared" ref="AB60:AB62" si="75">IFERROR(IF(AA60="","",IF(AA60&lt;=0.2,"Muy Baja",IF(AA60&lt;=0.4,"Baja",IF(AA60&lt;=0.6,"Media",IF(AA60&lt;=0.8,"Alta","Muy Alta"))))),"")</f>
        <v>Baja</v>
      </c>
      <c r="AC60" s="130">
        <f t="shared" ref="AC60:AC70" si="76">+AA60</f>
        <v>0.36</v>
      </c>
      <c r="AD60" s="129" t="str">
        <f t="shared" ref="AD60:AD70" ca="1" si="77">IFERROR(IF(AE60="","",IF(AE60&lt;=0.2,"Leve",IF(AE60&lt;=0.4,"Menor",IF(AE60&lt;=0.6,"Moderado",IF(AE60&lt;=0.8,"Mayor","Catastrófico"))))),"")</f>
        <v>Menor</v>
      </c>
      <c r="AE60" s="138">
        <f ca="1">IFERROR(IF(AND(T59="Impacto",T60="Impacto"),(AE59-(+AE59*W60)),IF(T60="Impacto",(P59-(+P59*W60)),IF(T60="Probabilidad",AE59,""))),"")</f>
        <v>0.26</v>
      </c>
      <c r="AF60" s="131" t="str">
        <f t="shared" ref="AF60:AF61" ca="1" si="78">IFERROR(IF(OR(AND(AB60="Muy Baja",AD60="Leve"),AND(AB60="Muy Baja",AD60="Menor"),AND(AB60="Baja",AD60="Leve")),"Bajo",IF(OR(AND(AB60="Muy baja",AD60="Moderado"),AND(AB60="Baja",AD60="Menor"),AND(AB60="Baja",AD60="Moderado"),AND(AB60="Media",AD60="Leve"),AND(AB60="Media",AD60="Menor"),AND(AB60="Media",AD60="Moderado"),AND(AB60="Alta",AD60="Leve"),AND(AB60="Alta",AD60="Menor")),"Moderado",IF(OR(AND(AB60="Muy Baja",AD60="Mayor"),AND(AB60="Baja",AD60="Mayor"),AND(AB60="Media",AD60="Mayor"),AND(AB60="Alta",AD60="Moderado"),AND(AB60="Alta",AD60="Mayor"),AND(AB60="Muy Alta",AD60="Leve"),AND(AB60="Muy Alta",AD60="Menor"),AND(AB60="Muy Alta",AD60="Moderado"),AND(AB60="Muy Alta",AD60="Mayor")),"Alto",IF(OR(AND(AB60="Muy Baja",AD60="Catastrófico"),AND(AB60="Baja",AD60="Catastrófico"),AND(AB60="Media",AD60="Catastrófico"),AND(AB60="Alta",AD60="Catastrófico"),AND(AB60="Muy Alta",AD60="Catastrófico")),"Extremo","")))),"")</f>
        <v>Moderado</v>
      </c>
      <c r="AG60" s="132" t="s">
        <v>30</v>
      </c>
      <c r="AH60" s="133"/>
      <c r="AI60" s="134"/>
      <c r="AJ60" s="135"/>
      <c r="AK60" s="135"/>
      <c r="AL60" s="133"/>
      <c r="AM60" s="134"/>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row>
    <row r="61" spans="1:71" ht="68.45" customHeight="1" x14ac:dyDescent="0.3">
      <c r="A61" s="212"/>
      <c r="B61" s="215"/>
      <c r="C61" s="215"/>
      <c r="D61" s="215"/>
      <c r="E61" s="164"/>
      <c r="F61" s="215"/>
      <c r="G61" s="227"/>
      <c r="H61" s="227"/>
      <c r="I61" s="215"/>
      <c r="J61" s="239"/>
      <c r="K61" s="224"/>
      <c r="L61" s="233"/>
      <c r="M61" s="221"/>
      <c r="N61" s="233">
        <f ca="1">IF(NOT(ISERROR(MATCH(M61,_xlfn.ANCHORARRAY(H78),0))),L80&amp;"Por favor no seleccionar los criterios de impacto",M61)</f>
        <v>0</v>
      </c>
      <c r="O61" s="224"/>
      <c r="P61" s="233"/>
      <c r="Q61" s="236"/>
      <c r="R61" s="124">
        <v>3</v>
      </c>
      <c r="S61" s="136"/>
      <c r="T61" s="125" t="str">
        <f t="shared" si="73"/>
        <v/>
      </c>
      <c r="U61" s="126"/>
      <c r="V61" s="126"/>
      <c r="W61" s="127" t="str">
        <f t="shared" si="74"/>
        <v/>
      </c>
      <c r="X61" s="126"/>
      <c r="Y61" s="126"/>
      <c r="Z61" s="126"/>
      <c r="AA61" s="128" t="str">
        <f>IFERROR(IF(AND(T60="Probabilidad",T61="Probabilidad"),(AC60-(+AC60*W61)),IF(AND(T60="Impacto",T61="Probabilidad"),(AC59-(+AC59*W61)),IF(T61="Impacto",AC60,""))),"")</f>
        <v/>
      </c>
      <c r="AB61" s="129" t="str">
        <f t="shared" si="75"/>
        <v/>
      </c>
      <c r="AC61" s="130" t="str">
        <f t="shared" si="76"/>
        <v/>
      </c>
      <c r="AD61" s="129" t="str">
        <f t="shared" si="77"/>
        <v/>
      </c>
      <c r="AE61" s="138" t="str">
        <f>IFERROR(IF(AND(T60="Impacto",T61="Impacto"),(AE60-(+AE60*W61)),IF(AND(T60="Probabilidad",T61="Impacto"),(AE59-(+AE59*W61)),IF(T61="Probabilidad",AE60,""))),"")</f>
        <v/>
      </c>
      <c r="AF61" s="131" t="str">
        <f t="shared" si="78"/>
        <v/>
      </c>
      <c r="AG61" s="132"/>
      <c r="AH61" s="133"/>
      <c r="AI61" s="134"/>
      <c r="AJ61" s="135"/>
      <c r="AK61" s="135"/>
      <c r="AL61" s="133"/>
      <c r="AM61" s="134"/>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row>
    <row r="62" spans="1:71" ht="68.45" customHeight="1" x14ac:dyDescent="0.3">
      <c r="A62" s="212"/>
      <c r="B62" s="215"/>
      <c r="C62" s="215"/>
      <c r="D62" s="215"/>
      <c r="E62" s="164"/>
      <c r="F62" s="215"/>
      <c r="G62" s="227"/>
      <c r="H62" s="227"/>
      <c r="I62" s="215"/>
      <c r="J62" s="239"/>
      <c r="K62" s="224"/>
      <c r="L62" s="233"/>
      <c r="M62" s="221"/>
      <c r="N62" s="233">
        <f ca="1">IF(NOT(ISERROR(MATCH(M62,_xlfn.ANCHORARRAY(H79),0))),L81&amp;"Por favor no seleccionar los criterios de impacto",M62)</f>
        <v>0</v>
      </c>
      <c r="O62" s="224"/>
      <c r="P62" s="233"/>
      <c r="Q62" s="236"/>
      <c r="R62" s="124">
        <v>4</v>
      </c>
      <c r="S62" s="169"/>
      <c r="T62" s="125" t="str">
        <f t="shared" si="73"/>
        <v/>
      </c>
      <c r="U62" s="126"/>
      <c r="V62" s="126"/>
      <c r="W62" s="127" t="str">
        <f t="shared" si="74"/>
        <v/>
      </c>
      <c r="X62" s="126"/>
      <c r="Y62" s="126"/>
      <c r="Z62" s="126"/>
      <c r="AA62" s="128" t="str">
        <f t="shared" ref="AA62:AA63" si="79">IFERROR(IF(AND(T61="Probabilidad",T62="Probabilidad"),(AC61-(+AC61*W62)),IF(AND(T61="Impacto",T62="Probabilidad"),(AC60-(+AC60*W62)),IF(T62="Impacto",AC61,""))),"")</f>
        <v/>
      </c>
      <c r="AB62" s="129" t="str">
        <f t="shared" si="75"/>
        <v/>
      </c>
      <c r="AC62" s="130" t="str">
        <f t="shared" si="76"/>
        <v/>
      </c>
      <c r="AD62" s="129" t="str">
        <f t="shared" si="77"/>
        <v/>
      </c>
      <c r="AE62" s="138" t="str">
        <f t="shared" ref="AE62:AE63" si="80">IFERROR(IF(AND(T61="Impacto",T62="Impacto"),(AE61-(+AE61*W62)),IF(AND(T61="Probabilidad",T62="Impacto"),(AE60-(+AE60*W62)),IF(T62="Probabilidad",AE61,""))),"")</f>
        <v/>
      </c>
      <c r="AF62" s="131" t="str">
        <f>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2"/>
      <c r="AH62" s="133"/>
      <c r="AI62" s="134"/>
      <c r="AJ62" s="135"/>
      <c r="AK62" s="135"/>
      <c r="AL62" s="133"/>
      <c r="AM62" s="134"/>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row>
    <row r="63" spans="1:71" ht="68.45" customHeight="1" x14ac:dyDescent="0.3">
      <c r="A63" s="212"/>
      <c r="B63" s="215"/>
      <c r="C63" s="215"/>
      <c r="D63" s="215"/>
      <c r="E63" s="164"/>
      <c r="F63" s="215"/>
      <c r="G63" s="227"/>
      <c r="H63" s="227"/>
      <c r="I63" s="215"/>
      <c r="J63" s="239"/>
      <c r="K63" s="224"/>
      <c r="L63" s="233"/>
      <c r="M63" s="221"/>
      <c r="N63" s="233">
        <f ca="1">IF(NOT(ISERROR(MATCH(M63,_xlfn.ANCHORARRAY(H80),0))),L82&amp;"Por favor no seleccionar los criterios de impacto",M63)</f>
        <v>0</v>
      </c>
      <c r="O63" s="224"/>
      <c r="P63" s="233"/>
      <c r="Q63" s="236"/>
      <c r="R63" s="124">
        <v>5</v>
      </c>
      <c r="S63" s="169"/>
      <c r="T63" s="125" t="str">
        <f t="shared" si="73"/>
        <v/>
      </c>
      <c r="U63" s="126"/>
      <c r="V63" s="126"/>
      <c r="W63" s="127" t="str">
        <f t="shared" si="74"/>
        <v/>
      </c>
      <c r="X63" s="126"/>
      <c r="Y63" s="126"/>
      <c r="Z63" s="126"/>
      <c r="AA63" s="137" t="str">
        <f t="shared" si="79"/>
        <v/>
      </c>
      <c r="AB63" s="129" t="str">
        <f>IFERROR(IF(AA63="","",IF(AA63&lt;=0.2,"Muy Baja",IF(AA63&lt;=0.4,"Baja",IF(AA63&lt;=0.6,"Media",IF(AA63&lt;=0.8,"Alta","Muy Alta"))))),"")</f>
        <v/>
      </c>
      <c r="AC63" s="130" t="str">
        <f t="shared" si="76"/>
        <v/>
      </c>
      <c r="AD63" s="129" t="str">
        <f t="shared" si="77"/>
        <v/>
      </c>
      <c r="AE63" s="138" t="str">
        <f t="shared" si="80"/>
        <v/>
      </c>
      <c r="AF63" s="131" t="str">
        <f t="shared" ref="AF63:AF70" si="81">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
      </c>
      <c r="AG63" s="132"/>
      <c r="AH63" s="133"/>
      <c r="AI63" s="134"/>
      <c r="AJ63" s="135"/>
      <c r="AK63" s="135"/>
      <c r="AL63" s="133"/>
      <c r="AM63" s="134"/>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row>
    <row r="64" spans="1:71" ht="68.45" customHeight="1" x14ac:dyDescent="0.3">
      <c r="A64" s="212"/>
      <c r="B64" s="215"/>
      <c r="C64" s="215"/>
      <c r="D64" s="215"/>
      <c r="E64" s="164"/>
      <c r="F64" s="215"/>
      <c r="G64" s="227"/>
      <c r="H64" s="227"/>
      <c r="I64" s="215"/>
      <c r="J64" s="239"/>
      <c r="K64" s="224"/>
      <c r="L64" s="233"/>
      <c r="M64" s="221"/>
      <c r="N64" s="233"/>
      <c r="O64" s="224"/>
      <c r="P64" s="233"/>
      <c r="Q64" s="236"/>
      <c r="R64" s="124"/>
      <c r="S64" s="169"/>
      <c r="T64" s="125"/>
      <c r="U64" s="126"/>
      <c r="V64" s="126"/>
      <c r="W64" s="127"/>
      <c r="X64" s="126"/>
      <c r="Y64" s="126"/>
      <c r="Z64" s="126"/>
      <c r="AA64" s="137"/>
      <c r="AB64" s="129"/>
      <c r="AC64" s="130"/>
      <c r="AD64" s="129"/>
      <c r="AE64" s="138"/>
      <c r="AF64" s="131"/>
      <c r="AG64" s="132"/>
      <c r="AH64" s="133"/>
      <c r="AI64" s="134"/>
      <c r="AJ64" s="135"/>
      <c r="AK64" s="135"/>
      <c r="AL64" s="133"/>
      <c r="AM64" s="134"/>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row>
    <row r="65" spans="1:71" ht="68.45" customHeight="1" x14ac:dyDescent="0.3">
      <c r="A65" s="212"/>
      <c r="B65" s="215"/>
      <c r="C65" s="215"/>
      <c r="D65" s="215"/>
      <c r="E65" s="164"/>
      <c r="F65" s="215"/>
      <c r="G65" s="227"/>
      <c r="H65" s="227"/>
      <c r="I65" s="215"/>
      <c r="J65" s="239"/>
      <c r="K65" s="224"/>
      <c r="L65" s="233"/>
      <c r="M65" s="221"/>
      <c r="N65" s="233"/>
      <c r="O65" s="224"/>
      <c r="P65" s="233"/>
      <c r="Q65" s="236"/>
      <c r="R65" s="124"/>
      <c r="S65" s="169"/>
      <c r="T65" s="125"/>
      <c r="U65" s="126"/>
      <c r="V65" s="126"/>
      <c r="W65" s="127"/>
      <c r="X65" s="126"/>
      <c r="Y65" s="126"/>
      <c r="Z65" s="126"/>
      <c r="AA65" s="137"/>
      <c r="AB65" s="129"/>
      <c r="AC65" s="130"/>
      <c r="AD65" s="129"/>
      <c r="AE65" s="138"/>
      <c r="AF65" s="131"/>
      <c r="AG65" s="132"/>
      <c r="AH65" s="133"/>
      <c r="AI65" s="134"/>
      <c r="AJ65" s="135"/>
      <c r="AK65" s="135"/>
      <c r="AL65" s="133"/>
      <c r="AM65" s="134"/>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row>
    <row r="66" spans="1:71" ht="68.45" customHeight="1" x14ac:dyDescent="0.3">
      <c r="A66" s="212"/>
      <c r="B66" s="215"/>
      <c r="C66" s="215"/>
      <c r="D66" s="215"/>
      <c r="E66" s="164"/>
      <c r="F66" s="215"/>
      <c r="G66" s="227"/>
      <c r="H66" s="227"/>
      <c r="I66" s="215"/>
      <c r="J66" s="239"/>
      <c r="K66" s="224"/>
      <c r="L66" s="233"/>
      <c r="M66" s="221"/>
      <c r="N66" s="233"/>
      <c r="O66" s="224"/>
      <c r="P66" s="233"/>
      <c r="Q66" s="236"/>
      <c r="R66" s="124"/>
      <c r="S66" s="169"/>
      <c r="T66" s="125"/>
      <c r="U66" s="126"/>
      <c r="V66" s="126"/>
      <c r="W66" s="127"/>
      <c r="X66" s="126"/>
      <c r="Y66" s="126"/>
      <c r="Z66" s="126"/>
      <c r="AA66" s="137"/>
      <c r="AB66" s="129"/>
      <c r="AC66" s="130"/>
      <c r="AD66" s="129"/>
      <c r="AE66" s="138"/>
      <c r="AF66" s="131"/>
      <c r="AG66" s="132"/>
      <c r="AH66" s="133"/>
      <c r="AI66" s="134"/>
      <c r="AJ66" s="135"/>
      <c r="AK66" s="135"/>
      <c r="AL66" s="133"/>
      <c r="AM66" s="134"/>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row>
    <row r="67" spans="1:71" ht="68.45" customHeight="1" x14ac:dyDescent="0.3">
      <c r="A67" s="212"/>
      <c r="B67" s="215"/>
      <c r="C67" s="215"/>
      <c r="D67" s="215"/>
      <c r="E67" s="164"/>
      <c r="F67" s="215"/>
      <c r="G67" s="227"/>
      <c r="H67" s="227"/>
      <c r="I67" s="215"/>
      <c r="J67" s="239"/>
      <c r="K67" s="224"/>
      <c r="L67" s="233"/>
      <c r="M67" s="221"/>
      <c r="N67" s="233"/>
      <c r="O67" s="224"/>
      <c r="P67" s="233"/>
      <c r="Q67" s="236"/>
      <c r="R67" s="124"/>
      <c r="S67" s="169"/>
      <c r="T67" s="125"/>
      <c r="U67" s="126"/>
      <c r="V67" s="126"/>
      <c r="W67" s="127"/>
      <c r="X67" s="126"/>
      <c r="Y67" s="126"/>
      <c r="Z67" s="126"/>
      <c r="AA67" s="137"/>
      <c r="AB67" s="129"/>
      <c r="AC67" s="130"/>
      <c r="AD67" s="129"/>
      <c r="AE67" s="138"/>
      <c r="AF67" s="131"/>
      <c r="AG67" s="132"/>
      <c r="AH67" s="133"/>
      <c r="AI67" s="134"/>
      <c r="AJ67" s="135"/>
      <c r="AK67" s="135"/>
      <c r="AL67" s="133"/>
      <c r="AM67" s="134"/>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row>
    <row r="68" spans="1:71" ht="68.45" customHeight="1" x14ac:dyDescent="0.3">
      <c r="A68" s="212"/>
      <c r="B68" s="215"/>
      <c r="C68" s="215"/>
      <c r="D68" s="215"/>
      <c r="E68" s="164"/>
      <c r="F68" s="215"/>
      <c r="G68" s="227"/>
      <c r="H68" s="227"/>
      <c r="I68" s="215"/>
      <c r="J68" s="239"/>
      <c r="K68" s="224"/>
      <c r="L68" s="233"/>
      <c r="M68" s="221"/>
      <c r="N68" s="233"/>
      <c r="O68" s="224"/>
      <c r="P68" s="233"/>
      <c r="Q68" s="236"/>
      <c r="R68" s="124"/>
      <c r="S68" s="169"/>
      <c r="T68" s="125"/>
      <c r="U68" s="126"/>
      <c r="V68" s="126"/>
      <c r="W68" s="127"/>
      <c r="X68" s="126"/>
      <c r="Y68" s="126"/>
      <c r="Z68" s="126"/>
      <c r="AA68" s="137"/>
      <c r="AB68" s="129"/>
      <c r="AC68" s="130"/>
      <c r="AD68" s="129"/>
      <c r="AE68" s="138"/>
      <c r="AF68" s="131"/>
      <c r="AG68" s="132"/>
      <c r="AH68" s="133"/>
      <c r="AI68" s="134"/>
      <c r="AJ68" s="135"/>
      <c r="AK68" s="135"/>
      <c r="AL68" s="133"/>
      <c r="AM68" s="134"/>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row>
    <row r="69" spans="1:71" ht="68.45" customHeight="1" x14ac:dyDescent="0.3">
      <c r="A69" s="212"/>
      <c r="B69" s="215"/>
      <c r="C69" s="215"/>
      <c r="D69" s="215"/>
      <c r="E69" s="164"/>
      <c r="F69" s="215"/>
      <c r="G69" s="227"/>
      <c r="H69" s="227"/>
      <c r="I69" s="215"/>
      <c r="J69" s="239"/>
      <c r="K69" s="224"/>
      <c r="L69" s="233"/>
      <c r="M69" s="221"/>
      <c r="N69" s="233"/>
      <c r="O69" s="224"/>
      <c r="P69" s="233"/>
      <c r="Q69" s="236"/>
      <c r="R69" s="124"/>
      <c r="S69" s="169"/>
      <c r="T69" s="125"/>
      <c r="U69" s="126"/>
      <c r="V69" s="126"/>
      <c r="W69" s="127"/>
      <c r="X69" s="126"/>
      <c r="Y69" s="126"/>
      <c r="Z69" s="126"/>
      <c r="AA69" s="137"/>
      <c r="AB69" s="129"/>
      <c r="AC69" s="130"/>
      <c r="AD69" s="129"/>
      <c r="AE69" s="138"/>
      <c r="AF69" s="131"/>
      <c r="AG69" s="132"/>
      <c r="AH69" s="133"/>
      <c r="AI69" s="134"/>
      <c r="AJ69" s="135"/>
      <c r="AK69" s="135"/>
      <c r="AL69" s="133"/>
      <c r="AM69" s="134"/>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row>
    <row r="70" spans="1:71" ht="68.45" customHeight="1" x14ac:dyDescent="0.3">
      <c r="A70" s="213"/>
      <c r="B70" s="216"/>
      <c r="C70" s="216"/>
      <c r="D70" s="216"/>
      <c r="E70" s="165"/>
      <c r="F70" s="216"/>
      <c r="G70" s="228"/>
      <c r="H70" s="228"/>
      <c r="I70" s="216"/>
      <c r="J70" s="240"/>
      <c r="K70" s="225"/>
      <c r="L70" s="234"/>
      <c r="M70" s="222"/>
      <c r="N70" s="234">
        <f ca="1">IF(NOT(ISERROR(MATCH(M70,_xlfn.ANCHORARRAY(H81),0))),L83&amp;"Por favor no seleccionar los criterios de impacto",M70)</f>
        <v>0</v>
      </c>
      <c r="O70" s="225"/>
      <c r="P70" s="234"/>
      <c r="Q70" s="237"/>
      <c r="R70" s="124">
        <v>6</v>
      </c>
      <c r="S70" s="169"/>
      <c r="T70" s="125" t="str">
        <f t="shared" si="73"/>
        <v/>
      </c>
      <c r="U70" s="126"/>
      <c r="V70" s="126"/>
      <c r="W70" s="127" t="str">
        <f t="shared" si="74"/>
        <v/>
      </c>
      <c r="X70" s="126"/>
      <c r="Y70" s="126"/>
      <c r="Z70" s="126"/>
      <c r="AA70" s="128" t="str">
        <f>IFERROR(IF(AND(T63="Probabilidad",T70="Probabilidad"),(AC63-(+AC63*W70)),IF(AND(T63="Impacto",T70="Probabilidad"),(AC62-(+AC62*W70)),IF(T70="Impacto",AC63,""))),"")</f>
        <v/>
      </c>
      <c r="AB70" s="129" t="str">
        <f t="shared" ref="AB70" si="82">IFERROR(IF(AA70="","",IF(AA70&lt;=0.2,"Muy Baja",IF(AA70&lt;=0.4,"Baja",IF(AA70&lt;=0.6,"Media",IF(AA70&lt;=0.8,"Alta","Muy Alta"))))),"")</f>
        <v/>
      </c>
      <c r="AC70" s="130" t="str">
        <f t="shared" si="76"/>
        <v/>
      </c>
      <c r="AD70" s="129" t="str">
        <f t="shared" si="77"/>
        <v/>
      </c>
      <c r="AE70" s="138" t="str">
        <f>IFERROR(IF(AND(T63="Impacto",T70="Impacto"),(AE63-(+AE63*W70)),IF(AND(T63="Probabilidad",T70="Impacto"),(AE62-(+AE62*W70)),IF(T70="Probabilidad",AE63,""))),"")</f>
        <v/>
      </c>
      <c r="AF70" s="131" t="str">
        <f t="shared" si="81"/>
        <v/>
      </c>
      <c r="AG70" s="132"/>
      <c r="AH70" s="133"/>
      <c r="AI70" s="134"/>
      <c r="AJ70" s="135"/>
      <c r="AK70" s="135"/>
      <c r="AL70" s="133"/>
      <c r="AM70" s="134"/>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row>
    <row r="71" spans="1:71" ht="68.45" customHeight="1" x14ac:dyDescent="0.3">
      <c r="A71" s="211">
        <v>9</v>
      </c>
      <c r="B71" s="214" t="s">
        <v>189</v>
      </c>
      <c r="C71" s="214" t="s">
        <v>305</v>
      </c>
      <c r="D71" s="214" t="s">
        <v>116</v>
      </c>
      <c r="E71" s="163" t="s">
        <v>312</v>
      </c>
      <c r="F71" s="214" t="s">
        <v>317</v>
      </c>
      <c r="G71" s="226" t="s">
        <v>197</v>
      </c>
      <c r="H71" s="226" t="s">
        <v>338</v>
      </c>
      <c r="I71" s="214" t="s">
        <v>214</v>
      </c>
      <c r="J71" s="238">
        <v>340</v>
      </c>
      <c r="K71" s="223" t="str">
        <f>IF(J71&lt;=0,"",IF(J71&lt;=2,"Muy Baja",IF(J71&lt;=24,"Baja",IF(J71&lt;=500,"Media",IF(J71&lt;=5000,"Alta","Muy Alta")))))</f>
        <v>Media</v>
      </c>
      <c r="L71" s="232">
        <f>IF(K71="","",IF(K71="Muy Baja",0.2,IF(K71="Baja",0.4,IF(K71="Media",0.6,IF(K71="Alta",0.8,IF(K71="Muy Alta",1,))))))</f>
        <v>0.6</v>
      </c>
      <c r="M71" s="220" t="s">
        <v>136</v>
      </c>
      <c r="N71" s="232" t="str">
        <f ca="1">IF(NOT(ISERROR(MATCH(M71,'Tabla Impacto'!$B$221:$B$223,0))),'Tabla Impacto'!$F$223&amp;"Por favor no seleccionar los criterios de impacto(Afectación Económica o presupuestal y Pérdida Reputacional)",M71)</f>
        <v xml:space="preserve">     El riesgo afecta la imagen de la entidad internamente, de conocimiento general, nivel interno, de junta dircetiva y accionistas y/o de provedores</v>
      </c>
      <c r="O71" s="223" t="str">
        <f ca="1">IF(OR(N71='Tabla Impacto'!$C$11,N71='Tabla Impacto'!$D$11),"Leve",IF(OR(N71='Tabla Impacto'!$C$12,N71='Tabla Impacto'!$D$12),"Menor",IF(OR(N71='Tabla Impacto'!$C$13,N71='Tabla Impacto'!$D$13),"Moderado",IF(OR(N71='Tabla Impacto'!$C$14,N71='Tabla Impacto'!$D$14),"Mayor",IF(OR(N71='Tabla Impacto'!$C$15,N71='Tabla Impacto'!$D$15),"Catastrófico","")))))</f>
        <v>Menor</v>
      </c>
      <c r="P71" s="232">
        <f ca="1">IF(O71="","",IF(O71="Leve",0.2,IF(O71="Menor",0.4,IF(O71="Moderado",0.6,IF(O71="Mayor",0.8,IF(O71="Catastrófico",1,))))))</f>
        <v>0.4</v>
      </c>
      <c r="Q71" s="235" t="str">
        <f ca="1">IF(OR(AND(K71="Muy Baja",O71="Leve"),AND(K71="Muy Baja",O71="Menor"),AND(K71="Baja",O71="Leve")),"Bajo",IF(OR(AND(K71="Muy baja",O71="Moderado"),AND(K71="Baja",O71="Menor"),AND(K71="Baja",O71="Moderado"),AND(K71="Media",O71="Leve"),AND(K71="Media",O71="Menor"),AND(K71="Media",O71="Moderado"),AND(K71="Alta",O71="Leve"),AND(K71="Alta",O71="Menor")),"Moderado",IF(OR(AND(K71="Muy Baja",O71="Mayor"),AND(K71="Baja",O71="Mayor"),AND(K71="Media",O71="Mayor"),AND(K71="Alta",O71="Moderado"),AND(K71="Alta",O71="Mayor"),AND(K71="Muy Alta",O71="Leve"),AND(K71="Muy Alta",O71="Menor"),AND(K71="Muy Alta",O71="Moderado"),AND(K71="Muy Alta",O71="Mayor")),"Alto",IF(OR(AND(K71="Muy Baja",O71="Catastrófico"),AND(K71="Baja",O71="Catastrófico"),AND(K71="Media",O71="Catastrófico"),AND(K71="Alta",O71="Catastrófico"),AND(K71="Muy Alta",O71="Catastrófico")),"Extremo",""))))</f>
        <v>Moderado</v>
      </c>
      <c r="R71" s="124">
        <v>1</v>
      </c>
      <c r="S71" s="169" t="s">
        <v>324</v>
      </c>
      <c r="T71" s="125" t="str">
        <f t="shared" si="73"/>
        <v>Probabilidad</v>
      </c>
      <c r="U71" s="126" t="s">
        <v>13</v>
      </c>
      <c r="V71" s="126" t="s">
        <v>8</v>
      </c>
      <c r="W71" s="127" t="str">
        <f>IF(AND(U71="Preventivo",V71="Automático"),"50%",IF(AND(U71="Preventivo",V71="Manual"),"40%",IF(AND(U71="Detectivo",V71="Automático"),"40%",IF(AND(U71="Detectivo",V71="Manual"),"30%",IF(AND(U71="Correctivo",V71="Automático"),"35%",IF(AND(U71="Correctivo",V71="Manual"),"25%",""))))))</f>
        <v>40%</v>
      </c>
      <c r="X71" s="126" t="s">
        <v>18</v>
      </c>
      <c r="Y71" s="126" t="s">
        <v>21</v>
      </c>
      <c r="Z71" s="126" t="s">
        <v>111</v>
      </c>
      <c r="AA71" s="128">
        <f>IFERROR(IF(T71="Probabilidad",(L71-(+L71*W71)),IF(T71="Impacto",L71,"")),"")</f>
        <v>0.36</v>
      </c>
      <c r="AB71" s="129" t="str">
        <f>IFERROR(IF(AA71="","",IF(AA71&lt;=0.2,"Muy Baja",IF(AA71&lt;=0.4,"Baja",IF(AA71&lt;=0.6,"Media",IF(AA71&lt;=0.8,"Alta","Muy Alta"))))),"")</f>
        <v>Baja</v>
      </c>
      <c r="AC71" s="130">
        <f>+AA71</f>
        <v>0.36</v>
      </c>
      <c r="AD71" s="129" t="str">
        <f ca="1">IFERROR(IF(AE71="","",IF(AE71&lt;=0.2,"Leve",IF(AE71&lt;=0.4,"Menor",IF(AE71&lt;=0.6,"Moderado",IF(AE71&lt;=0.8,"Mayor","Catastrófico"))))),"")</f>
        <v>Menor</v>
      </c>
      <c r="AE71" s="138">
        <f ca="1">IFERROR(IF(T71="Impacto",(P71-(+P71*W71)),IF(T71="Probabilidad",P71,"")),"")</f>
        <v>0.4</v>
      </c>
      <c r="AF71" s="131" t="str">
        <f ca="1">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Moderado</v>
      </c>
      <c r="AG71" s="132" t="s">
        <v>30</v>
      </c>
      <c r="AH71" s="133"/>
      <c r="AI71" s="134"/>
      <c r="AJ71" s="135"/>
      <c r="AK71" s="135"/>
      <c r="AL71" s="133"/>
      <c r="AM71" s="134"/>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row>
    <row r="72" spans="1:71" ht="68.45" customHeight="1" x14ac:dyDescent="0.3">
      <c r="A72" s="212"/>
      <c r="B72" s="215"/>
      <c r="C72" s="215"/>
      <c r="D72" s="215"/>
      <c r="E72" s="164"/>
      <c r="F72" s="215"/>
      <c r="G72" s="227"/>
      <c r="H72" s="227"/>
      <c r="I72" s="215"/>
      <c r="J72" s="239"/>
      <c r="K72" s="224"/>
      <c r="L72" s="233"/>
      <c r="M72" s="221"/>
      <c r="N72" s="233">
        <f ca="1">IF(NOT(ISERROR(MATCH(M72,_xlfn.ANCHORARRAY(H83),0))),L85&amp;"Por favor no seleccionar los criterios de impacto",M72)</f>
        <v>0</v>
      </c>
      <c r="O72" s="224"/>
      <c r="P72" s="233"/>
      <c r="Q72" s="236"/>
      <c r="R72" s="124">
        <v>2</v>
      </c>
      <c r="S72" s="169" t="s">
        <v>340</v>
      </c>
      <c r="T72" s="125" t="str">
        <f t="shared" si="73"/>
        <v>Probabilidad</v>
      </c>
      <c r="U72" s="126" t="s">
        <v>13</v>
      </c>
      <c r="V72" s="126" t="s">
        <v>8</v>
      </c>
      <c r="W72" s="127" t="str">
        <f t="shared" ref="W72:W75" si="83">IF(AND(U72="Preventivo",V72="Automático"),"50%",IF(AND(U72="Preventivo",V72="Manual"),"40%",IF(AND(U72="Detectivo",V72="Automático"),"40%",IF(AND(U72="Detectivo",V72="Manual"),"30%",IF(AND(U72="Correctivo",V72="Automático"),"35%",IF(AND(U72="Correctivo",V72="Manual"),"25%",""))))))</f>
        <v>40%</v>
      </c>
      <c r="X72" s="126" t="s">
        <v>18</v>
      </c>
      <c r="Y72" s="126" t="s">
        <v>21</v>
      </c>
      <c r="Z72" s="126" t="s">
        <v>111</v>
      </c>
      <c r="AA72" s="128">
        <f>IFERROR(IF(AND(T71="Probabilidad",T72="Probabilidad"),(AC71-(+AC71*W72)),IF(T72="Probabilidad",(L71-(+L71*W72)),IF(T72="Impacto",AC71,""))),"")</f>
        <v>0.216</v>
      </c>
      <c r="AB72" s="129" t="str">
        <f t="shared" ref="AB72:AB74" si="84">IFERROR(IF(AA72="","",IF(AA72&lt;=0.2,"Muy Baja",IF(AA72&lt;=0.4,"Baja",IF(AA72&lt;=0.6,"Media",IF(AA72&lt;=0.8,"Alta","Muy Alta"))))),"")</f>
        <v>Baja</v>
      </c>
      <c r="AC72" s="130">
        <f t="shared" ref="AC72:AC76" si="85">+AA72</f>
        <v>0.216</v>
      </c>
      <c r="AD72" s="129" t="str">
        <f t="shared" ref="AD72:AD76" ca="1" si="86">IFERROR(IF(AE72="","",IF(AE72&lt;=0.2,"Leve",IF(AE72&lt;=0.4,"Menor",IF(AE72&lt;=0.6,"Moderado",IF(AE72&lt;=0.8,"Mayor","Catastrófico"))))),"")</f>
        <v>Menor</v>
      </c>
      <c r="AE72" s="138">
        <f ca="1">IFERROR(IF(AND(T71="Impacto",T72="Impacto"),(AE71-(+AE71*W72)),IF(T72="Impacto",(P71-(+P71*W72)),IF(T72="Probabilidad",AE71,""))),"")</f>
        <v>0.4</v>
      </c>
      <c r="AF72" s="131" t="str">
        <f t="shared" ref="AF72:AF73" ca="1" si="87">IFERROR(IF(OR(AND(AB72="Muy Baja",AD72="Leve"),AND(AB72="Muy Baja",AD72="Menor"),AND(AB72="Baja",AD72="Leve")),"Bajo",IF(OR(AND(AB72="Muy baja",AD72="Moderado"),AND(AB72="Baja",AD72="Menor"),AND(AB72="Baja",AD72="Moderado"),AND(AB72="Media",AD72="Leve"),AND(AB72="Media",AD72="Menor"),AND(AB72="Media",AD72="Moderado"),AND(AB72="Alta",AD72="Leve"),AND(AB72="Alta",AD72="Menor")),"Moderado",IF(OR(AND(AB72="Muy Baja",AD72="Mayor"),AND(AB72="Baja",AD72="Mayor"),AND(AB72="Media",AD72="Mayor"),AND(AB72="Alta",AD72="Moderado"),AND(AB72="Alta",AD72="Mayor"),AND(AB72="Muy Alta",AD72="Leve"),AND(AB72="Muy Alta",AD72="Menor"),AND(AB72="Muy Alta",AD72="Moderado"),AND(AB72="Muy Alta",AD72="Mayor")),"Alto",IF(OR(AND(AB72="Muy Baja",AD72="Catastrófico"),AND(AB72="Baja",AD72="Catastrófico"),AND(AB72="Media",AD72="Catastrófico"),AND(AB72="Alta",AD72="Catastrófico"),AND(AB72="Muy Alta",AD72="Catastrófico")),"Extremo","")))),"")</f>
        <v>Moderado</v>
      </c>
      <c r="AG72" s="132" t="s">
        <v>30</v>
      </c>
      <c r="AH72" s="133"/>
      <c r="AI72" s="134"/>
      <c r="AJ72" s="135"/>
      <c r="AK72" s="135"/>
      <c r="AL72" s="133"/>
      <c r="AM72" s="134"/>
    </row>
    <row r="73" spans="1:71" ht="68.45" customHeight="1" x14ac:dyDescent="0.3">
      <c r="A73" s="212"/>
      <c r="B73" s="215"/>
      <c r="C73" s="215"/>
      <c r="D73" s="215"/>
      <c r="E73" s="164"/>
      <c r="F73" s="215"/>
      <c r="G73" s="227"/>
      <c r="H73" s="227"/>
      <c r="I73" s="215"/>
      <c r="J73" s="239"/>
      <c r="K73" s="224"/>
      <c r="L73" s="233"/>
      <c r="M73" s="221"/>
      <c r="N73" s="233">
        <f ca="1">IF(NOT(ISERROR(MATCH(M73,_xlfn.ANCHORARRAY(H84),0))),L86&amp;"Por favor no seleccionar los criterios de impacto",M73)</f>
        <v>0</v>
      </c>
      <c r="O73" s="224"/>
      <c r="P73" s="233"/>
      <c r="Q73" s="236"/>
      <c r="R73" s="124">
        <v>3</v>
      </c>
      <c r="S73" s="169" t="s">
        <v>341</v>
      </c>
      <c r="T73" s="125" t="str">
        <f t="shared" si="73"/>
        <v>Probabilidad</v>
      </c>
      <c r="U73" s="126" t="s">
        <v>13</v>
      </c>
      <c r="V73" s="126" t="s">
        <v>8</v>
      </c>
      <c r="W73" s="127" t="str">
        <f t="shared" si="83"/>
        <v>40%</v>
      </c>
      <c r="X73" s="126" t="s">
        <v>19</v>
      </c>
      <c r="Y73" s="126" t="s">
        <v>21</v>
      </c>
      <c r="Z73" s="126" t="s">
        <v>111</v>
      </c>
      <c r="AA73" s="128">
        <f>IFERROR(IF(AND(T72="Probabilidad",T73="Probabilidad"),(AC72-(+AC72*W73)),IF(AND(T72="Impacto",T73="Probabilidad"),(AC71-(+AC71*W73)),IF(T73="Impacto",AC72,""))),"")</f>
        <v>0.12959999999999999</v>
      </c>
      <c r="AB73" s="129" t="str">
        <f t="shared" si="84"/>
        <v>Muy Baja</v>
      </c>
      <c r="AC73" s="130">
        <f t="shared" si="85"/>
        <v>0.12959999999999999</v>
      </c>
      <c r="AD73" s="129" t="str">
        <f t="shared" ca="1" si="86"/>
        <v>Menor</v>
      </c>
      <c r="AE73" s="138">
        <f ca="1">IFERROR(IF(AND(T72="Impacto",T73="Impacto"),(AE72-(+AE72*W73)),IF(AND(T72="Probabilidad",T73="Impacto"),(AE71-(+AE71*W73)),IF(T73="Probabilidad",AE72,""))),"")</f>
        <v>0.4</v>
      </c>
      <c r="AF73" s="131" t="str">
        <f t="shared" ca="1" si="87"/>
        <v>Bajo</v>
      </c>
      <c r="AG73" s="132" t="s">
        <v>30</v>
      </c>
      <c r="AH73" s="133"/>
      <c r="AI73" s="134"/>
      <c r="AJ73" s="135"/>
      <c r="AK73" s="135"/>
      <c r="AL73" s="133"/>
      <c r="AM73" s="134"/>
    </row>
    <row r="74" spans="1:71" ht="68.45" customHeight="1" x14ac:dyDescent="0.3">
      <c r="A74" s="212"/>
      <c r="B74" s="215"/>
      <c r="C74" s="215"/>
      <c r="D74" s="215"/>
      <c r="E74" s="164"/>
      <c r="F74" s="215"/>
      <c r="G74" s="227"/>
      <c r="H74" s="227"/>
      <c r="I74" s="215"/>
      <c r="J74" s="239"/>
      <c r="K74" s="224"/>
      <c r="L74" s="233"/>
      <c r="M74" s="221"/>
      <c r="N74" s="233">
        <f ca="1">IF(NOT(ISERROR(MATCH(M74,_xlfn.ANCHORARRAY(H85),0))),L87&amp;"Por favor no seleccionar los criterios de impacto",M74)</f>
        <v>0</v>
      </c>
      <c r="O74" s="224"/>
      <c r="P74" s="233"/>
      <c r="Q74" s="236"/>
      <c r="R74" s="124">
        <v>4</v>
      </c>
      <c r="S74" s="169"/>
      <c r="T74" s="125" t="str">
        <f t="shared" si="73"/>
        <v/>
      </c>
      <c r="U74" s="126"/>
      <c r="V74" s="126"/>
      <c r="W74" s="127" t="str">
        <f t="shared" si="83"/>
        <v/>
      </c>
      <c r="X74" s="126"/>
      <c r="Y74" s="126"/>
      <c r="Z74" s="126"/>
      <c r="AA74" s="128" t="str">
        <f t="shared" ref="AA74:AA76" si="88">IFERROR(IF(AND(T73="Probabilidad",T74="Probabilidad"),(AC73-(+AC73*W74)),IF(AND(T73="Impacto",T74="Probabilidad"),(AC72-(+AC72*W74)),IF(T74="Impacto",AC73,""))),"")</f>
        <v/>
      </c>
      <c r="AB74" s="129" t="str">
        <f t="shared" si="84"/>
        <v/>
      </c>
      <c r="AC74" s="130" t="str">
        <f t="shared" si="85"/>
        <v/>
      </c>
      <c r="AD74" s="129" t="str">
        <f t="shared" si="86"/>
        <v/>
      </c>
      <c r="AE74" s="138" t="str">
        <f t="shared" ref="AE74:AE76" si="89">IFERROR(IF(AND(T73="Impacto",T74="Impacto"),(AE73-(+AE73*W74)),IF(AND(T73="Probabilidad",T74="Impacto"),(AE72-(+AE72*W74)),IF(T74="Probabilidad",AE73,""))),"")</f>
        <v/>
      </c>
      <c r="AF74" s="131" t="str">
        <f>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32"/>
      <c r="AH74" s="133"/>
      <c r="AI74" s="134"/>
      <c r="AJ74" s="135"/>
      <c r="AK74" s="135"/>
      <c r="AL74" s="133"/>
      <c r="AM74" s="134"/>
    </row>
    <row r="75" spans="1:71" ht="68.45" customHeight="1" x14ac:dyDescent="0.3">
      <c r="A75" s="212"/>
      <c r="B75" s="215"/>
      <c r="C75" s="215"/>
      <c r="D75" s="215"/>
      <c r="E75" s="164"/>
      <c r="F75" s="215"/>
      <c r="G75" s="227"/>
      <c r="H75" s="227"/>
      <c r="I75" s="215"/>
      <c r="J75" s="239"/>
      <c r="K75" s="224"/>
      <c r="L75" s="233"/>
      <c r="M75" s="221"/>
      <c r="N75" s="233">
        <f ca="1">IF(NOT(ISERROR(MATCH(M75,_xlfn.ANCHORARRAY(H86),0))),L88&amp;"Por favor no seleccionar los criterios de impacto",M75)</f>
        <v>0</v>
      </c>
      <c r="O75" s="224"/>
      <c r="P75" s="233"/>
      <c r="Q75" s="236"/>
      <c r="R75" s="124">
        <v>5</v>
      </c>
      <c r="S75" s="169"/>
      <c r="T75" s="125" t="str">
        <f t="shared" si="73"/>
        <v/>
      </c>
      <c r="U75" s="126"/>
      <c r="V75" s="126"/>
      <c r="W75" s="127" t="str">
        <f t="shared" si="83"/>
        <v/>
      </c>
      <c r="X75" s="126"/>
      <c r="Y75" s="126"/>
      <c r="Z75" s="126"/>
      <c r="AA75" s="137" t="str">
        <f t="shared" si="88"/>
        <v/>
      </c>
      <c r="AB75" s="129" t="str">
        <f>IFERROR(IF(AA75="","",IF(AA75&lt;=0.2,"Muy Baja",IF(AA75&lt;=0.4,"Baja",IF(AA75&lt;=0.6,"Media",IF(AA75&lt;=0.8,"Alta","Muy Alta"))))),"")</f>
        <v/>
      </c>
      <c r="AC75" s="130" t="str">
        <f t="shared" si="85"/>
        <v/>
      </c>
      <c r="AD75" s="129" t="str">
        <f t="shared" si="86"/>
        <v/>
      </c>
      <c r="AE75" s="138" t="str">
        <f t="shared" si="89"/>
        <v/>
      </c>
      <c r="AF75" s="131" t="str">
        <f t="shared" ref="AF75:AF76" si="90">IFERROR(IF(OR(AND(AB75="Muy Baja",AD75="Leve"),AND(AB75="Muy Baja",AD75="Menor"),AND(AB75="Baja",AD75="Leve")),"Bajo",IF(OR(AND(AB75="Muy baja",AD75="Moderado"),AND(AB75="Baja",AD75="Menor"),AND(AB75="Baja",AD75="Moderado"),AND(AB75="Media",AD75="Leve"),AND(AB75="Media",AD75="Menor"),AND(AB75="Media",AD75="Moderado"),AND(AB75="Alta",AD75="Leve"),AND(AB75="Alta",AD75="Menor")),"Moderado",IF(OR(AND(AB75="Muy Baja",AD75="Mayor"),AND(AB75="Baja",AD75="Mayor"),AND(AB75="Media",AD75="Mayor"),AND(AB75="Alta",AD75="Moderado"),AND(AB75="Alta",AD75="Mayor"),AND(AB75="Muy Alta",AD75="Leve"),AND(AB75="Muy Alta",AD75="Menor"),AND(AB75="Muy Alta",AD75="Moderado"),AND(AB75="Muy Alta",AD75="Mayor")),"Alto",IF(OR(AND(AB75="Muy Baja",AD75="Catastrófico"),AND(AB75="Baja",AD75="Catastrófico"),AND(AB75="Media",AD75="Catastrófico"),AND(AB75="Alta",AD75="Catastrófico"),AND(AB75="Muy Alta",AD75="Catastrófico")),"Extremo","")))),"")</f>
        <v/>
      </c>
      <c r="AG75" s="132"/>
      <c r="AH75" s="133"/>
      <c r="AI75" s="134"/>
      <c r="AJ75" s="135"/>
      <c r="AK75" s="135"/>
      <c r="AL75" s="133"/>
      <c r="AM75" s="134"/>
    </row>
    <row r="76" spans="1:71" ht="68.45" customHeight="1" x14ac:dyDescent="0.3">
      <c r="A76" s="213"/>
      <c r="B76" s="216"/>
      <c r="C76" s="216"/>
      <c r="D76" s="216"/>
      <c r="E76" s="165"/>
      <c r="F76" s="216"/>
      <c r="G76" s="228"/>
      <c r="H76" s="228"/>
      <c r="I76" s="216"/>
      <c r="J76" s="240"/>
      <c r="K76" s="225"/>
      <c r="L76" s="234"/>
      <c r="M76" s="222"/>
      <c r="N76" s="234">
        <f ca="1">IF(NOT(ISERROR(MATCH(M76,_xlfn.ANCHORARRAY(H87),0))),L89&amp;"Por favor no seleccionar los criterios de impacto",M76)</f>
        <v>0</v>
      </c>
      <c r="O76" s="225"/>
      <c r="P76" s="234"/>
      <c r="Q76" s="237"/>
      <c r="R76" s="124">
        <v>6</v>
      </c>
      <c r="S76" s="169"/>
      <c r="T76" s="125" t="str">
        <f t="shared" si="73"/>
        <v/>
      </c>
      <c r="U76" s="126"/>
      <c r="V76" s="126"/>
      <c r="W76" s="127" t="str">
        <f t="shared" ref="W76" si="91">IF(AND(U76="Preventivo",V76="Automático"),"50%",IF(AND(U76="Preventivo",V76="Manual"),"40%",IF(AND(U76="Detectivo",V76="Automático"),"40%",IF(AND(U76="Detectivo",V76="Manual"),"30%",IF(AND(U76="Correctivo",V76="Automático"),"35%",IF(AND(U76="Correctivo",V76="Manual"),"25%",""))))))</f>
        <v/>
      </c>
      <c r="X76" s="126"/>
      <c r="Y76" s="126"/>
      <c r="Z76" s="126"/>
      <c r="AA76" s="128" t="str">
        <f t="shared" si="88"/>
        <v/>
      </c>
      <c r="AB76" s="129" t="str">
        <f t="shared" ref="AB76" si="92">IFERROR(IF(AA76="","",IF(AA76&lt;=0.2,"Muy Baja",IF(AA76&lt;=0.4,"Baja",IF(AA76&lt;=0.6,"Media",IF(AA76&lt;=0.8,"Alta","Muy Alta"))))),"")</f>
        <v/>
      </c>
      <c r="AC76" s="130" t="str">
        <f t="shared" si="85"/>
        <v/>
      </c>
      <c r="AD76" s="129" t="str">
        <f t="shared" si="86"/>
        <v/>
      </c>
      <c r="AE76" s="138" t="str">
        <f t="shared" si="89"/>
        <v/>
      </c>
      <c r="AF76" s="131" t="str">
        <f t="shared" si="90"/>
        <v/>
      </c>
      <c r="AG76" s="132"/>
      <c r="AH76" s="133"/>
      <c r="AI76" s="134"/>
      <c r="AJ76" s="135"/>
      <c r="AK76" s="135"/>
      <c r="AL76" s="133"/>
      <c r="AM76" s="134"/>
    </row>
    <row r="77" spans="1:71" ht="49.7" customHeight="1" x14ac:dyDescent="0.3">
      <c r="A77" s="6"/>
      <c r="B77" s="267"/>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8"/>
    </row>
    <row r="79" spans="1:71" x14ac:dyDescent="0.3">
      <c r="A79" s="1"/>
      <c r="B79" s="23"/>
      <c r="C79" s="23"/>
      <c r="D79" s="1"/>
      <c r="E79" s="1"/>
      <c r="G79" s="1"/>
      <c r="H79" s="1"/>
      <c r="I79" s="1"/>
    </row>
  </sheetData>
  <dataConsolidate/>
  <mergeCells count="209">
    <mergeCell ref="D4:Q4"/>
    <mergeCell ref="I11:I16"/>
    <mergeCell ref="J11:J16"/>
    <mergeCell ref="K11:K16"/>
    <mergeCell ref="A11:A16"/>
    <mergeCell ref="B11:B16"/>
    <mergeCell ref="F11:F16"/>
    <mergeCell ref="H11:H16"/>
    <mergeCell ref="Q11:Q16"/>
    <mergeCell ref="L11:L16"/>
    <mergeCell ref="M11:M16"/>
    <mergeCell ref="N11:N16"/>
    <mergeCell ref="O11:O16"/>
    <mergeCell ref="P11:P16"/>
    <mergeCell ref="G11:G16"/>
    <mergeCell ref="D11:D16"/>
    <mergeCell ref="D5:Q5"/>
    <mergeCell ref="C11:C16"/>
    <mergeCell ref="A4:C4"/>
    <mergeCell ref="A5:C5"/>
    <mergeCell ref="A6:C6"/>
    <mergeCell ref="A7:C7"/>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N17:N22"/>
    <mergeCell ref="O17:O22"/>
    <mergeCell ref="P17:P22"/>
    <mergeCell ref="Q17:Q22"/>
    <mergeCell ref="A23:A28"/>
    <mergeCell ref="B23:B28"/>
    <mergeCell ref="F23:F28"/>
    <mergeCell ref="H23:H28"/>
    <mergeCell ref="I23:I28"/>
    <mergeCell ref="J23:J28"/>
    <mergeCell ref="K23:K28"/>
    <mergeCell ref="L23:L28"/>
    <mergeCell ref="M23:M28"/>
    <mergeCell ref="N23:N28"/>
    <mergeCell ref="O23:O28"/>
    <mergeCell ref="I17:I22"/>
    <mergeCell ref="J17:J22"/>
    <mergeCell ref="K17:K22"/>
    <mergeCell ref="L17:L22"/>
    <mergeCell ref="M17:M22"/>
    <mergeCell ref="A17:A22"/>
    <mergeCell ref="B17:B22"/>
    <mergeCell ref="F17:F22"/>
    <mergeCell ref="H17:H22"/>
    <mergeCell ref="A29:A34"/>
    <mergeCell ref="B29:B34"/>
    <mergeCell ref="F29:F34"/>
    <mergeCell ref="H29:H34"/>
    <mergeCell ref="I29:I34"/>
    <mergeCell ref="J29:J34"/>
    <mergeCell ref="K29:K34"/>
    <mergeCell ref="L29:L34"/>
    <mergeCell ref="M29:M34"/>
    <mergeCell ref="B77:AM77"/>
    <mergeCell ref="P59:P70"/>
    <mergeCell ref="Q59:Q70"/>
    <mergeCell ref="N71:N76"/>
    <mergeCell ref="O71:O76"/>
    <mergeCell ref="P71:P76"/>
    <mergeCell ref="Q71:Q76"/>
    <mergeCell ref="M59:M70"/>
    <mergeCell ref="N59:N70"/>
    <mergeCell ref="O59:O70"/>
    <mergeCell ref="D59:D70"/>
    <mergeCell ref="J59:J70"/>
    <mergeCell ref="K59:K70"/>
    <mergeCell ref="L59:L70"/>
    <mergeCell ref="A71:A76"/>
    <mergeCell ref="B71:B76"/>
    <mergeCell ref="F71:F76"/>
    <mergeCell ref="H71:H76"/>
    <mergeCell ref="I71:I76"/>
    <mergeCell ref="J71:J76"/>
    <mergeCell ref="K71:K76"/>
    <mergeCell ref="L71:L76"/>
    <mergeCell ref="M71:M76"/>
    <mergeCell ref="D71:D76"/>
    <mergeCell ref="G71:G76"/>
    <mergeCell ref="A59:A70"/>
    <mergeCell ref="B59:B70"/>
    <mergeCell ref="F59:F70"/>
    <mergeCell ref="H59:H70"/>
    <mergeCell ref="I59:I70"/>
    <mergeCell ref="R5:T5"/>
    <mergeCell ref="B9:B10"/>
    <mergeCell ref="E9:E10"/>
    <mergeCell ref="G9:G10"/>
    <mergeCell ref="D9:D10"/>
    <mergeCell ref="G17:G22"/>
    <mergeCell ref="G23:G28"/>
    <mergeCell ref="G29:G34"/>
    <mergeCell ref="G41:G46"/>
    <mergeCell ref="G53:G58"/>
    <mergeCell ref="G47:G52"/>
    <mergeCell ref="G59:G70"/>
    <mergeCell ref="D17:D22"/>
    <mergeCell ref="D23:D28"/>
    <mergeCell ref="D29:D34"/>
    <mergeCell ref="D41:D46"/>
    <mergeCell ref="D53:D58"/>
    <mergeCell ref="N41:N46"/>
    <mergeCell ref="O41:O46"/>
    <mergeCell ref="R4:T4"/>
    <mergeCell ref="A1:AM2"/>
    <mergeCell ref="A8:J8"/>
    <mergeCell ref="K8:Q8"/>
    <mergeCell ref="R8:Z8"/>
    <mergeCell ref="AA8:AG8"/>
    <mergeCell ref="AH8:AM8"/>
    <mergeCell ref="AH9:AH10"/>
    <mergeCell ref="AM9:AM10"/>
    <mergeCell ref="AL9:AL10"/>
    <mergeCell ref="AK9:AK10"/>
    <mergeCell ref="AJ9:AJ10"/>
    <mergeCell ref="AI9:AI10"/>
    <mergeCell ref="A9:A10"/>
    <mergeCell ref="I9:I10"/>
    <mergeCell ref="H9:H10"/>
    <mergeCell ref="F9:F10"/>
    <mergeCell ref="C9:C10"/>
    <mergeCell ref="AG9:AG10"/>
    <mergeCell ref="D6:Q6"/>
    <mergeCell ref="D7:Q7"/>
    <mergeCell ref="R9:R10"/>
    <mergeCell ref="AF9:AF10"/>
    <mergeCell ref="AE9:AE10"/>
    <mergeCell ref="C71:C76"/>
    <mergeCell ref="Q53:Q58"/>
    <mergeCell ref="I47:I52"/>
    <mergeCell ref="J47:J52"/>
    <mergeCell ref="K47:K52"/>
    <mergeCell ref="L47:L52"/>
    <mergeCell ref="M47:M52"/>
    <mergeCell ref="I53:I58"/>
    <mergeCell ref="J53:J58"/>
    <mergeCell ref="K53:K58"/>
    <mergeCell ref="L53:L58"/>
    <mergeCell ref="O47:O52"/>
    <mergeCell ref="P47:P52"/>
    <mergeCell ref="Q47:Q52"/>
    <mergeCell ref="D47:D52"/>
    <mergeCell ref="P53:P58"/>
    <mergeCell ref="F47:F52"/>
    <mergeCell ref="H47:H52"/>
    <mergeCell ref="P35:P40"/>
    <mergeCell ref="Q35:Q40"/>
    <mergeCell ref="C17:C22"/>
    <mergeCell ref="C23:C28"/>
    <mergeCell ref="C29:C34"/>
    <mergeCell ref="C41:C46"/>
    <mergeCell ref="C53:C58"/>
    <mergeCell ref="C47:C52"/>
    <mergeCell ref="C59:C70"/>
    <mergeCell ref="Q41:Q46"/>
    <mergeCell ref="P41:P46"/>
    <mergeCell ref="F41:F46"/>
    <mergeCell ref="H41:H46"/>
    <mergeCell ref="I41:I46"/>
    <mergeCell ref="J41:J46"/>
    <mergeCell ref="K41:K46"/>
    <mergeCell ref="P23:P28"/>
    <mergeCell ref="Q23:Q28"/>
    <mergeCell ref="N29:N34"/>
    <mergeCell ref="O29:O34"/>
    <mergeCell ref="P29:P34"/>
    <mergeCell ref="Q29:Q34"/>
    <mergeCell ref="L41:L46"/>
    <mergeCell ref="M41:M46"/>
    <mergeCell ref="A53:A58"/>
    <mergeCell ref="B53:B58"/>
    <mergeCell ref="F53:F58"/>
    <mergeCell ref="H53:H58"/>
    <mergeCell ref="M53:M58"/>
    <mergeCell ref="O53:O58"/>
    <mergeCell ref="B35:B40"/>
    <mergeCell ref="C35:C40"/>
    <mergeCell ref="D35:D40"/>
    <mergeCell ref="F35:F40"/>
    <mergeCell ref="G35:G40"/>
    <mergeCell ref="H35:H40"/>
    <mergeCell ref="I35:I40"/>
    <mergeCell ref="J35:J40"/>
    <mergeCell ref="K35:K40"/>
    <mergeCell ref="L35:L40"/>
    <mergeCell ref="M35:M40"/>
    <mergeCell ref="N35:N40"/>
    <mergeCell ref="O35:O40"/>
    <mergeCell ref="A47:A52"/>
    <mergeCell ref="B47:B52"/>
    <mergeCell ref="A41:A46"/>
    <mergeCell ref="B41:B46"/>
    <mergeCell ref="A35:A40"/>
  </mergeCells>
  <conditionalFormatting sqref="K11 K17">
    <cfRule type="cellIs" dxfId="279" priority="551" operator="equal">
      <formula>"Muy Alta"</formula>
    </cfRule>
    <cfRule type="cellIs" dxfId="278" priority="552" operator="equal">
      <formula>"Alta"</formula>
    </cfRule>
    <cfRule type="cellIs" dxfId="277" priority="553" operator="equal">
      <formula>"Media"</formula>
    </cfRule>
    <cfRule type="cellIs" dxfId="276" priority="554" operator="equal">
      <formula>"Baja"</formula>
    </cfRule>
    <cfRule type="cellIs" dxfId="275" priority="555" operator="equal">
      <formula>"Muy Baja"</formula>
    </cfRule>
  </conditionalFormatting>
  <conditionalFormatting sqref="O11 O17 O47">
    <cfRule type="cellIs" dxfId="274" priority="546" operator="equal">
      <formula>"Catastrófico"</formula>
    </cfRule>
    <cfRule type="cellIs" dxfId="273" priority="547" operator="equal">
      <formula>"Mayor"</formula>
    </cfRule>
    <cfRule type="cellIs" dxfId="272" priority="548" operator="equal">
      <formula>"Moderado"</formula>
    </cfRule>
    <cfRule type="cellIs" dxfId="271" priority="549" operator="equal">
      <formula>"Menor"</formula>
    </cfRule>
    <cfRule type="cellIs" dxfId="270" priority="550" operator="equal">
      <formula>"Leve"</formula>
    </cfRule>
  </conditionalFormatting>
  <conditionalFormatting sqref="Q11">
    <cfRule type="cellIs" dxfId="269" priority="542" operator="equal">
      <formula>"Extremo"</formula>
    </cfRule>
    <cfRule type="cellIs" dxfId="268" priority="543" operator="equal">
      <formula>"Alto"</formula>
    </cfRule>
    <cfRule type="cellIs" dxfId="267" priority="544" operator="equal">
      <formula>"Moderado"</formula>
    </cfRule>
    <cfRule type="cellIs" dxfId="266" priority="545" operator="equal">
      <formula>"Bajo"</formula>
    </cfRule>
  </conditionalFormatting>
  <conditionalFormatting sqref="AB11:AB16">
    <cfRule type="cellIs" dxfId="265" priority="537" operator="equal">
      <formula>"Muy Alta"</formula>
    </cfRule>
    <cfRule type="cellIs" dxfId="264" priority="538" operator="equal">
      <formula>"Alta"</formula>
    </cfRule>
    <cfRule type="cellIs" dxfId="263" priority="539" operator="equal">
      <formula>"Media"</formula>
    </cfRule>
    <cfRule type="cellIs" dxfId="262" priority="540" operator="equal">
      <formula>"Baja"</formula>
    </cfRule>
    <cfRule type="cellIs" dxfId="261" priority="541" operator="equal">
      <formula>"Muy Baja"</formula>
    </cfRule>
  </conditionalFormatting>
  <conditionalFormatting sqref="AD11:AD16">
    <cfRule type="cellIs" dxfId="260" priority="532" operator="equal">
      <formula>"Catastrófico"</formula>
    </cfRule>
    <cfRule type="cellIs" dxfId="259" priority="533" operator="equal">
      <formula>"Mayor"</formula>
    </cfRule>
    <cfRule type="cellIs" dxfId="258" priority="534" operator="equal">
      <formula>"Moderado"</formula>
    </cfRule>
    <cfRule type="cellIs" dxfId="257" priority="535" operator="equal">
      <formula>"Menor"</formula>
    </cfRule>
    <cfRule type="cellIs" dxfId="256" priority="536" operator="equal">
      <formula>"Leve"</formula>
    </cfRule>
  </conditionalFormatting>
  <conditionalFormatting sqref="AF11:AF16">
    <cfRule type="cellIs" dxfId="255" priority="528" operator="equal">
      <formula>"Extremo"</formula>
    </cfRule>
    <cfRule type="cellIs" dxfId="254" priority="529" operator="equal">
      <formula>"Alto"</formula>
    </cfRule>
    <cfRule type="cellIs" dxfId="253" priority="530" operator="equal">
      <formula>"Moderado"</formula>
    </cfRule>
    <cfRule type="cellIs" dxfId="252" priority="531" operator="equal">
      <formula>"Bajo"</formula>
    </cfRule>
  </conditionalFormatting>
  <conditionalFormatting sqref="Q17">
    <cfRule type="cellIs" dxfId="251" priority="472" operator="equal">
      <formula>"Extremo"</formula>
    </cfRule>
    <cfRule type="cellIs" dxfId="250" priority="473" operator="equal">
      <formula>"Alto"</formula>
    </cfRule>
    <cfRule type="cellIs" dxfId="249" priority="474" operator="equal">
      <formula>"Moderado"</formula>
    </cfRule>
    <cfRule type="cellIs" dxfId="248" priority="475" operator="equal">
      <formula>"Bajo"</formula>
    </cfRule>
  </conditionalFormatting>
  <conditionalFormatting sqref="AB17:AB22">
    <cfRule type="cellIs" dxfId="247" priority="467" operator="equal">
      <formula>"Muy Alta"</formula>
    </cfRule>
    <cfRule type="cellIs" dxfId="246" priority="468" operator="equal">
      <formula>"Alta"</formula>
    </cfRule>
    <cfRule type="cellIs" dxfId="245" priority="469" operator="equal">
      <formula>"Media"</formula>
    </cfRule>
    <cfRule type="cellIs" dxfId="244" priority="470" operator="equal">
      <formula>"Baja"</formula>
    </cfRule>
    <cfRule type="cellIs" dxfId="243" priority="471" operator="equal">
      <formula>"Muy Baja"</formula>
    </cfRule>
  </conditionalFormatting>
  <conditionalFormatting sqref="AD17:AD22">
    <cfRule type="cellIs" dxfId="242" priority="462" operator="equal">
      <formula>"Catastrófico"</formula>
    </cfRule>
    <cfRule type="cellIs" dxfId="241" priority="463" operator="equal">
      <formula>"Mayor"</formula>
    </cfRule>
    <cfRule type="cellIs" dxfId="240" priority="464" operator="equal">
      <formula>"Moderado"</formula>
    </cfRule>
    <cfRule type="cellIs" dxfId="239" priority="465" operator="equal">
      <formula>"Menor"</formula>
    </cfRule>
    <cfRule type="cellIs" dxfId="238" priority="466" operator="equal">
      <formula>"Leve"</formula>
    </cfRule>
  </conditionalFormatting>
  <conditionalFormatting sqref="AF17:AF22">
    <cfRule type="cellIs" dxfId="237" priority="458" operator="equal">
      <formula>"Extremo"</formula>
    </cfRule>
    <cfRule type="cellIs" dxfId="236" priority="459" operator="equal">
      <formula>"Alto"</formula>
    </cfRule>
    <cfRule type="cellIs" dxfId="235" priority="460" operator="equal">
      <formula>"Moderado"</formula>
    </cfRule>
    <cfRule type="cellIs" dxfId="234" priority="461" operator="equal">
      <formula>"Bajo"</formula>
    </cfRule>
  </conditionalFormatting>
  <conditionalFormatting sqref="K47">
    <cfRule type="cellIs" dxfId="233" priority="313" operator="equal">
      <formula>"Muy Alta"</formula>
    </cfRule>
    <cfRule type="cellIs" dxfId="232" priority="314" operator="equal">
      <formula>"Alta"</formula>
    </cfRule>
    <cfRule type="cellIs" dxfId="231" priority="315" operator="equal">
      <formula>"Media"</formula>
    </cfRule>
    <cfRule type="cellIs" dxfId="230" priority="316" operator="equal">
      <formula>"Baja"</formula>
    </cfRule>
    <cfRule type="cellIs" dxfId="229" priority="317" operator="equal">
      <formula>"Muy Baja"</formula>
    </cfRule>
  </conditionalFormatting>
  <conditionalFormatting sqref="Q47">
    <cfRule type="cellIs" dxfId="228" priority="304" operator="equal">
      <formula>"Extremo"</formula>
    </cfRule>
    <cfRule type="cellIs" dxfId="227" priority="305" operator="equal">
      <formula>"Alto"</formula>
    </cfRule>
    <cfRule type="cellIs" dxfId="226" priority="306" operator="equal">
      <formula>"Moderado"</formula>
    </cfRule>
    <cfRule type="cellIs" dxfId="225" priority="307" operator="equal">
      <formula>"Bajo"</formula>
    </cfRule>
  </conditionalFormatting>
  <conditionalFormatting sqref="AB47:AB52">
    <cfRule type="cellIs" dxfId="224" priority="299" operator="equal">
      <formula>"Muy Alta"</formula>
    </cfRule>
    <cfRule type="cellIs" dxfId="223" priority="300" operator="equal">
      <formula>"Alta"</formula>
    </cfRule>
    <cfRule type="cellIs" dxfId="222" priority="301" operator="equal">
      <formula>"Media"</formula>
    </cfRule>
    <cfRule type="cellIs" dxfId="221" priority="302" operator="equal">
      <formula>"Baja"</formula>
    </cfRule>
    <cfRule type="cellIs" dxfId="220" priority="303" operator="equal">
      <formula>"Muy Baja"</formula>
    </cfRule>
  </conditionalFormatting>
  <conditionalFormatting sqref="AD47:AD52">
    <cfRule type="cellIs" dxfId="219" priority="294" operator="equal">
      <formula>"Catastrófico"</formula>
    </cfRule>
    <cfRule type="cellIs" dxfId="218" priority="295" operator="equal">
      <formula>"Mayor"</formula>
    </cfRule>
    <cfRule type="cellIs" dxfId="217" priority="296" operator="equal">
      <formula>"Moderado"</formula>
    </cfRule>
    <cfRule type="cellIs" dxfId="216" priority="297" operator="equal">
      <formula>"Menor"</formula>
    </cfRule>
    <cfRule type="cellIs" dxfId="215" priority="298" operator="equal">
      <formula>"Leve"</formula>
    </cfRule>
  </conditionalFormatting>
  <conditionalFormatting sqref="AF47:AF52">
    <cfRule type="cellIs" dxfId="214" priority="290" operator="equal">
      <formula>"Extremo"</formula>
    </cfRule>
    <cfRule type="cellIs" dxfId="213" priority="291" operator="equal">
      <formula>"Alto"</formula>
    </cfRule>
    <cfRule type="cellIs" dxfId="212" priority="292" operator="equal">
      <formula>"Moderado"</formula>
    </cfRule>
    <cfRule type="cellIs" dxfId="211" priority="293" operator="equal">
      <formula>"Bajo"</formula>
    </cfRule>
  </conditionalFormatting>
  <conditionalFormatting sqref="Q59">
    <cfRule type="cellIs" dxfId="210" priority="219" operator="equal">
      <formula>"Extremo"</formula>
    </cfRule>
    <cfRule type="cellIs" dxfId="209" priority="220" operator="equal">
      <formula>"Alto"</formula>
    </cfRule>
    <cfRule type="cellIs" dxfId="208" priority="221" operator="equal">
      <formula>"Moderado"</formula>
    </cfRule>
    <cfRule type="cellIs" dxfId="207" priority="222" operator="equal">
      <formula>"Bajo"</formula>
    </cfRule>
  </conditionalFormatting>
  <conditionalFormatting sqref="AB59:AB70">
    <cfRule type="cellIs" dxfId="206" priority="214" operator="equal">
      <formula>"Muy Alta"</formula>
    </cfRule>
    <cfRule type="cellIs" dxfId="205" priority="215" operator="equal">
      <formula>"Alta"</formula>
    </cfRule>
    <cfRule type="cellIs" dxfId="204" priority="216" operator="equal">
      <formula>"Media"</formula>
    </cfRule>
    <cfRule type="cellIs" dxfId="203" priority="217" operator="equal">
      <formula>"Baja"</formula>
    </cfRule>
    <cfRule type="cellIs" dxfId="202" priority="218" operator="equal">
      <formula>"Muy Baja"</formula>
    </cfRule>
  </conditionalFormatting>
  <conditionalFormatting sqref="AD59:AD70">
    <cfRule type="cellIs" dxfId="201" priority="209" operator="equal">
      <formula>"Catastrófico"</formula>
    </cfRule>
    <cfRule type="cellIs" dxfId="200" priority="210" operator="equal">
      <formula>"Mayor"</formula>
    </cfRule>
    <cfRule type="cellIs" dxfId="199" priority="211" operator="equal">
      <formula>"Moderado"</formula>
    </cfRule>
    <cfRule type="cellIs" dxfId="198" priority="212" operator="equal">
      <formula>"Menor"</formula>
    </cfRule>
    <cfRule type="cellIs" dxfId="197" priority="213" operator="equal">
      <formula>"Leve"</formula>
    </cfRule>
  </conditionalFormatting>
  <conditionalFormatting sqref="AF59:AF70">
    <cfRule type="cellIs" dxfId="196" priority="205" operator="equal">
      <formula>"Extremo"</formula>
    </cfRule>
    <cfRule type="cellIs" dxfId="195" priority="206" operator="equal">
      <formula>"Alto"</formula>
    </cfRule>
    <cfRule type="cellIs" dxfId="194" priority="207" operator="equal">
      <formula>"Moderado"</formula>
    </cfRule>
    <cfRule type="cellIs" dxfId="193" priority="208" operator="equal">
      <formula>"Bajo"</formula>
    </cfRule>
  </conditionalFormatting>
  <conditionalFormatting sqref="N11:N22 N47:N52">
    <cfRule type="containsText" dxfId="192" priority="233" operator="containsText" text="❌">
      <formula>NOT(ISERROR(SEARCH("❌",N11)))</formula>
    </cfRule>
  </conditionalFormatting>
  <conditionalFormatting sqref="O59">
    <cfRule type="cellIs" dxfId="191" priority="228" operator="equal">
      <formula>"Catastrófico"</formula>
    </cfRule>
    <cfRule type="cellIs" dxfId="190" priority="229" operator="equal">
      <formula>"Mayor"</formula>
    </cfRule>
    <cfRule type="cellIs" dxfId="189" priority="230" operator="equal">
      <formula>"Moderado"</formula>
    </cfRule>
    <cfRule type="cellIs" dxfId="188" priority="231" operator="equal">
      <formula>"Menor"</formula>
    </cfRule>
    <cfRule type="cellIs" dxfId="187" priority="232" operator="equal">
      <formula>"Leve"</formula>
    </cfRule>
  </conditionalFormatting>
  <conditionalFormatting sqref="K59">
    <cfRule type="cellIs" dxfId="186" priority="223" operator="equal">
      <formula>"Muy Alta"</formula>
    </cfRule>
    <cfRule type="cellIs" dxfId="185" priority="224" operator="equal">
      <formula>"Alta"</formula>
    </cfRule>
    <cfRule type="cellIs" dxfId="184" priority="225" operator="equal">
      <formula>"Media"</formula>
    </cfRule>
    <cfRule type="cellIs" dxfId="183" priority="226" operator="equal">
      <formula>"Baja"</formula>
    </cfRule>
    <cfRule type="cellIs" dxfId="182" priority="227" operator="equal">
      <formula>"Muy Baja"</formula>
    </cfRule>
  </conditionalFormatting>
  <conditionalFormatting sqref="Q29">
    <cfRule type="cellIs" dxfId="181" priority="103" operator="equal">
      <formula>"Extremo"</formula>
    </cfRule>
    <cfRule type="cellIs" dxfId="180" priority="104" operator="equal">
      <formula>"Alto"</formula>
    </cfRule>
    <cfRule type="cellIs" dxfId="179" priority="105" operator="equal">
      <formula>"Moderado"</formula>
    </cfRule>
    <cfRule type="cellIs" dxfId="178" priority="106" operator="equal">
      <formula>"Bajo"</formula>
    </cfRule>
  </conditionalFormatting>
  <conditionalFormatting sqref="AB29:AB34">
    <cfRule type="cellIs" dxfId="177" priority="98" operator="equal">
      <formula>"Muy Alta"</formula>
    </cfRule>
    <cfRule type="cellIs" dxfId="176" priority="99" operator="equal">
      <formula>"Alta"</formula>
    </cfRule>
    <cfRule type="cellIs" dxfId="175" priority="100" operator="equal">
      <formula>"Media"</formula>
    </cfRule>
    <cfRule type="cellIs" dxfId="174" priority="101" operator="equal">
      <formula>"Baja"</formula>
    </cfRule>
    <cfRule type="cellIs" dxfId="173" priority="102" operator="equal">
      <formula>"Muy Baja"</formula>
    </cfRule>
  </conditionalFormatting>
  <conditionalFormatting sqref="AD29:AD34">
    <cfRule type="cellIs" dxfId="172" priority="93" operator="equal">
      <formula>"Catastrófico"</formula>
    </cfRule>
    <cfRule type="cellIs" dxfId="171" priority="94" operator="equal">
      <formula>"Mayor"</formula>
    </cfRule>
    <cfRule type="cellIs" dxfId="170" priority="95" operator="equal">
      <formula>"Moderado"</formula>
    </cfRule>
    <cfRule type="cellIs" dxfId="169" priority="96" operator="equal">
      <formula>"Menor"</formula>
    </cfRule>
    <cfRule type="cellIs" dxfId="168" priority="97" operator="equal">
      <formula>"Leve"</formula>
    </cfRule>
  </conditionalFormatting>
  <conditionalFormatting sqref="AF29:AF34">
    <cfRule type="cellIs" dxfId="167" priority="89" operator="equal">
      <formula>"Extremo"</formula>
    </cfRule>
    <cfRule type="cellIs" dxfId="166" priority="90" operator="equal">
      <formula>"Alto"</formula>
    </cfRule>
    <cfRule type="cellIs" dxfId="165" priority="91" operator="equal">
      <formula>"Moderado"</formula>
    </cfRule>
    <cfRule type="cellIs" dxfId="164" priority="92" operator="equal">
      <formula>"Bajo"</formula>
    </cfRule>
  </conditionalFormatting>
  <conditionalFormatting sqref="N59:N70">
    <cfRule type="containsText" dxfId="163" priority="204" operator="containsText" text="❌">
      <formula>NOT(ISERROR(SEARCH("❌",N59)))</formula>
    </cfRule>
  </conditionalFormatting>
  <conditionalFormatting sqref="O71">
    <cfRule type="cellIs" dxfId="162" priority="199" operator="equal">
      <formula>"Catastrófico"</formula>
    </cfRule>
    <cfRule type="cellIs" dxfId="161" priority="200" operator="equal">
      <formula>"Mayor"</formula>
    </cfRule>
    <cfRule type="cellIs" dxfId="160" priority="201" operator="equal">
      <formula>"Moderado"</formula>
    </cfRule>
    <cfRule type="cellIs" dxfId="159" priority="202" operator="equal">
      <formula>"Menor"</formula>
    </cfRule>
    <cfRule type="cellIs" dxfId="158" priority="203" operator="equal">
      <formula>"Leve"</formula>
    </cfRule>
  </conditionalFormatting>
  <conditionalFormatting sqref="K71">
    <cfRule type="cellIs" dxfId="157" priority="194" operator="equal">
      <formula>"Muy Alta"</formula>
    </cfRule>
    <cfRule type="cellIs" dxfId="156" priority="195" operator="equal">
      <formula>"Alta"</formula>
    </cfRule>
    <cfRule type="cellIs" dxfId="155" priority="196" operator="equal">
      <formula>"Media"</formula>
    </cfRule>
    <cfRule type="cellIs" dxfId="154" priority="197" operator="equal">
      <formula>"Baja"</formula>
    </cfRule>
    <cfRule type="cellIs" dxfId="153" priority="198" operator="equal">
      <formula>"Muy Baja"</formula>
    </cfRule>
  </conditionalFormatting>
  <conditionalFormatting sqref="Q71">
    <cfRule type="cellIs" dxfId="152" priority="190" operator="equal">
      <formula>"Extremo"</formula>
    </cfRule>
    <cfRule type="cellIs" dxfId="151" priority="191" operator="equal">
      <formula>"Alto"</formula>
    </cfRule>
    <cfRule type="cellIs" dxfId="150" priority="192" operator="equal">
      <formula>"Moderado"</formula>
    </cfRule>
    <cfRule type="cellIs" dxfId="149" priority="193" operator="equal">
      <formula>"Bajo"</formula>
    </cfRule>
  </conditionalFormatting>
  <conditionalFormatting sqref="AB71:AB76">
    <cfRule type="cellIs" dxfId="148" priority="185" operator="equal">
      <formula>"Muy Alta"</formula>
    </cfRule>
    <cfRule type="cellIs" dxfId="147" priority="186" operator="equal">
      <formula>"Alta"</formula>
    </cfRule>
    <cfRule type="cellIs" dxfId="146" priority="187" operator="equal">
      <formula>"Media"</formula>
    </cfRule>
    <cfRule type="cellIs" dxfId="145" priority="188" operator="equal">
      <formula>"Baja"</formula>
    </cfRule>
    <cfRule type="cellIs" dxfId="144" priority="189" operator="equal">
      <formula>"Muy Baja"</formula>
    </cfRule>
  </conditionalFormatting>
  <conditionalFormatting sqref="AD71:AD76">
    <cfRule type="cellIs" dxfId="143" priority="180" operator="equal">
      <formula>"Catastrófico"</formula>
    </cfRule>
    <cfRule type="cellIs" dxfId="142" priority="181" operator="equal">
      <formula>"Mayor"</formula>
    </cfRule>
    <cfRule type="cellIs" dxfId="141" priority="182" operator="equal">
      <formula>"Moderado"</formula>
    </cfRule>
    <cfRule type="cellIs" dxfId="140" priority="183" operator="equal">
      <formula>"Menor"</formula>
    </cfRule>
    <cfRule type="cellIs" dxfId="139" priority="184" operator="equal">
      <formula>"Leve"</formula>
    </cfRule>
  </conditionalFormatting>
  <conditionalFormatting sqref="AF71:AF76">
    <cfRule type="cellIs" dxfId="138" priority="176" operator="equal">
      <formula>"Extremo"</formula>
    </cfRule>
    <cfRule type="cellIs" dxfId="137" priority="177" operator="equal">
      <formula>"Alto"</formula>
    </cfRule>
    <cfRule type="cellIs" dxfId="136" priority="178" operator="equal">
      <formula>"Moderado"</formula>
    </cfRule>
    <cfRule type="cellIs" dxfId="135" priority="179" operator="equal">
      <formula>"Bajo"</formula>
    </cfRule>
  </conditionalFormatting>
  <conditionalFormatting sqref="N71:N76">
    <cfRule type="containsText" dxfId="134" priority="175" operator="containsText" text="❌">
      <formula>NOT(ISERROR(SEARCH("❌",N71)))</formula>
    </cfRule>
  </conditionalFormatting>
  <conditionalFormatting sqref="N41:N46">
    <cfRule type="containsText" dxfId="133" priority="59" operator="containsText" text="❌">
      <formula>NOT(ISERROR(SEARCH("❌",N41)))</formula>
    </cfRule>
  </conditionalFormatting>
  <conditionalFormatting sqref="O23">
    <cfRule type="cellIs" dxfId="132" priority="141" operator="equal">
      <formula>"Catastrófico"</formula>
    </cfRule>
    <cfRule type="cellIs" dxfId="131" priority="142" operator="equal">
      <formula>"Mayor"</formula>
    </cfRule>
    <cfRule type="cellIs" dxfId="130" priority="143" operator="equal">
      <formula>"Moderado"</formula>
    </cfRule>
    <cfRule type="cellIs" dxfId="129" priority="144" operator="equal">
      <formula>"Menor"</formula>
    </cfRule>
    <cfRule type="cellIs" dxfId="128" priority="145" operator="equal">
      <formula>"Leve"</formula>
    </cfRule>
  </conditionalFormatting>
  <conditionalFormatting sqref="K23">
    <cfRule type="cellIs" dxfId="127" priority="136" operator="equal">
      <formula>"Muy Alta"</formula>
    </cfRule>
    <cfRule type="cellIs" dxfId="126" priority="137" operator="equal">
      <formula>"Alta"</formula>
    </cfRule>
    <cfRule type="cellIs" dxfId="125" priority="138" operator="equal">
      <formula>"Media"</formula>
    </cfRule>
    <cfRule type="cellIs" dxfId="124" priority="139" operator="equal">
      <formula>"Baja"</formula>
    </cfRule>
    <cfRule type="cellIs" dxfId="123" priority="140" operator="equal">
      <formula>"Muy Baja"</formula>
    </cfRule>
  </conditionalFormatting>
  <conditionalFormatting sqref="Q23">
    <cfRule type="cellIs" dxfId="122" priority="132" operator="equal">
      <formula>"Extremo"</formula>
    </cfRule>
    <cfRule type="cellIs" dxfId="121" priority="133" operator="equal">
      <formula>"Alto"</formula>
    </cfRule>
    <cfRule type="cellIs" dxfId="120" priority="134" operator="equal">
      <formula>"Moderado"</formula>
    </cfRule>
    <cfRule type="cellIs" dxfId="119" priority="135" operator="equal">
      <formula>"Bajo"</formula>
    </cfRule>
  </conditionalFormatting>
  <conditionalFormatting sqref="AB23:AB28">
    <cfRule type="cellIs" dxfId="118" priority="127" operator="equal">
      <formula>"Muy Alta"</formula>
    </cfRule>
    <cfRule type="cellIs" dxfId="117" priority="128" operator="equal">
      <formula>"Alta"</formula>
    </cfRule>
    <cfRule type="cellIs" dxfId="116" priority="129" operator="equal">
      <formula>"Media"</formula>
    </cfRule>
    <cfRule type="cellIs" dxfId="115" priority="130" operator="equal">
      <formula>"Baja"</formula>
    </cfRule>
    <cfRule type="cellIs" dxfId="114" priority="131" operator="equal">
      <formula>"Muy Baja"</formula>
    </cfRule>
  </conditionalFormatting>
  <conditionalFormatting sqref="AD23:AD28">
    <cfRule type="cellIs" dxfId="113" priority="122" operator="equal">
      <formula>"Catastrófico"</formula>
    </cfRule>
    <cfRule type="cellIs" dxfId="112" priority="123" operator="equal">
      <formula>"Mayor"</formula>
    </cfRule>
    <cfRule type="cellIs" dxfId="111" priority="124" operator="equal">
      <formula>"Moderado"</formula>
    </cfRule>
    <cfRule type="cellIs" dxfId="110" priority="125" operator="equal">
      <formula>"Menor"</formula>
    </cfRule>
    <cfRule type="cellIs" dxfId="109" priority="126" operator="equal">
      <formula>"Leve"</formula>
    </cfRule>
  </conditionalFormatting>
  <conditionalFormatting sqref="AF23:AF28">
    <cfRule type="cellIs" dxfId="108" priority="118" operator="equal">
      <formula>"Extremo"</formula>
    </cfRule>
    <cfRule type="cellIs" dxfId="107" priority="119" operator="equal">
      <formula>"Alto"</formula>
    </cfRule>
    <cfRule type="cellIs" dxfId="106" priority="120" operator="equal">
      <formula>"Moderado"</formula>
    </cfRule>
    <cfRule type="cellIs" dxfId="105" priority="121" operator="equal">
      <formula>"Bajo"</formula>
    </cfRule>
  </conditionalFormatting>
  <conditionalFormatting sqref="N23:N28">
    <cfRule type="containsText" dxfId="104" priority="117" operator="containsText" text="❌">
      <formula>NOT(ISERROR(SEARCH("❌",N23)))</formula>
    </cfRule>
  </conditionalFormatting>
  <conditionalFormatting sqref="O29">
    <cfRule type="cellIs" dxfId="103" priority="112" operator="equal">
      <formula>"Catastrófico"</formula>
    </cfRule>
    <cfRule type="cellIs" dxfId="102" priority="113" operator="equal">
      <formula>"Mayor"</formula>
    </cfRule>
    <cfRule type="cellIs" dxfId="101" priority="114" operator="equal">
      <formula>"Moderado"</formula>
    </cfRule>
    <cfRule type="cellIs" dxfId="100" priority="115" operator="equal">
      <formula>"Menor"</formula>
    </cfRule>
    <cfRule type="cellIs" dxfId="99" priority="116" operator="equal">
      <formula>"Leve"</formula>
    </cfRule>
  </conditionalFormatting>
  <conditionalFormatting sqref="K29">
    <cfRule type="cellIs" dxfId="98" priority="107" operator="equal">
      <formula>"Muy Alta"</formula>
    </cfRule>
    <cfRule type="cellIs" dxfId="97" priority="108" operator="equal">
      <formula>"Alta"</formula>
    </cfRule>
    <cfRule type="cellIs" dxfId="96" priority="109" operator="equal">
      <formula>"Media"</formula>
    </cfRule>
    <cfRule type="cellIs" dxfId="95" priority="110" operator="equal">
      <formula>"Baja"</formula>
    </cfRule>
    <cfRule type="cellIs" dxfId="94" priority="111" operator="equal">
      <formula>"Muy Baja"</formula>
    </cfRule>
  </conditionalFormatting>
  <conditionalFormatting sqref="N29:N34">
    <cfRule type="containsText" dxfId="93" priority="88" operator="containsText" text="❌">
      <formula>NOT(ISERROR(SEARCH("❌",N29)))</formula>
    </cfRule>
  </conditionalFormatting>
  <conditionalFormatting sqref="O41">
    <cfRule type="cellIs" dxfId="92" priority="83" operator="equal">
      <formula>"Catastrófico"</formula>
    </cfRule>
    <cfRule type="cellIs" dxfId="91" priority="84" operator="equal">
      <formula>"Mayor"</formula>
    </cfRule>
    <cfRule type="cellIs" dxfId="90" priority="85" operator="equal">
      <formula>"Moderado"</formula>
    </cfRule>
    <cfRule type="cellIs" dxfId="89" priority="86" operator="equal">
      <formula>"Menor"</formula>
    </cfRule>
    <cfRule type="cellIs" dxfId="88" priority="87" operator="equal">
      <formula>"Leve"</formula>
    </cfRule>
  </conditionalFormatting>
  <conditionalFormatting sqref="K41">
    <cfRule type="cellIs" dxfId="87" priority="78" operator="equal">
      <formula>"Muy Alta"</formula>
    </cfRule>
    <cfRule type="cellIs" dxfId="86" priority="79" operator="equal">
      <formula>"Alta"</formula>
    </cfRule>
    <cfRule type="cellIs" dxfId="85" priority="80" operator="equal">
      <formula>"Media"</formula>
    </cfRule>
    <cfRule type="cellIs" dxfId="84" priority="81" operator="equal">
      <formula>"Baja"</formula>
    </cfRule>
    <cfRule type="cellIs" dxfId="83" priority="82" operator="equal">
      <formula>"Muy Baja"</formula>
    </cfRule>
  </conditionalFormatting>
  <conditionalFormatting sqref="Q41">
    <cfRule type="cellIs" dxfId="82" priority="74" operator="equal">
      <formula>"Extremo"</formula>
    </cfRule>
    <cfRule type="cellIs" dxfId="81" priority="75" operator="equal">
      <formula>"Alto"</formula>
    </cfRule>
    <cfRule type="cellIs" dxfId="80" priority="76" operator="equal">
      <formula>"Moderado"</formula>
    </cfRule>
    <cfRule type="cellIs" dxfId="79" priority="77" operator="equal">
      <formula>"Bajo"</formula>
    </cfRule>
  </conditionalFormatting>
  <conditionalFormatting sqref="AB41:AB46">
    <cfRule type="cellIs" dxfId="78" priority="69" operator="equal">
      <formula>"Muy Alta"</formula>
    </cfRule>
    <cfRule type="cellIs" dxfId="77" priority="70" operator="equal">
      <formula>"Alta"</formula>
    </cfRule>
    <cfRule type="cellIs" dxfId="76" priority="71" operator="equal">
      <formula>"Media"</formula>
    </cfRule>
    <cfRule type="cellIs" dxfId="75" priority="72" operator="equal">
      <formula>"Baja"</formula>
    </cfRule>
    <cfRule type="cellIs" dxfId="74" priority="73" operator="equal">
      <formula>"Muy Baja"</formula>
    </cfRule>
  </conditionalFormatting>
  <conditionalFormatting sqref="AD41:AD46">
    <cfRule type="cellIs" dxfId="73" priority="64" operator="equal">
      <formula>"Catastrófico"</formula>
    </cfRule>
    <cfRule type="cellIs" dxfId="72" priority="65" operator="equal">
      <formula>"Mayor"</formula>
    </cfRule>
    <cfRule type="cellIs" dxfId="71" priority="66" operator="equal">
      <formula>"Moderado"</formula>
    </cfRule>
    <cfRule type="cellIs" dxfId="70" priority="67" operator="equal">
      <formula>"Menor"</formula>
    </cfRule>
    <cfRule type="cellIs" dxfId="69" priority="68" operator="equal">
      <formula>"Leve"</formula>
    </cfRule>
  </conditionalFormatting>
  <conditionalFormatting sqref="AF41:AF46">
    <cfRule type="cellIs" dxfId="68" priority="60" operator="equal">
      <formula>"Extremo"</formula>
    </cfRule>
    <cfRule type="cellIs" dxfId="67" priority="61" operator="equal">
      <formula>"Alto"</formula>
    </cfRule>
    <cfRule type="cellIs" dxfId="66" priority="62" operator="equal">
      <formula>"Moderado"</formula>
    </cfRule>
    <cfRule type="cellIs" dxfId="65" priority="63" operator="equal">
      <formula>"Bajo"</formula>
    </cfRule>
  </conditionalFormatting>
  <conditionalFormatting sqref="Q35">
    <cfRule type="cellIs" dxfId="64" priority="45" operator="equal">
      <formula>"Extremo"</formula>
    </cfRule>
    <cfRule type="cellIs" dxfId="63" priority="46" operator="equal">
      <formula>"Alto"</formula>
    </cfRule>
    <cfRule type="cellIs" dxfId="62" priority="47" operator="equal">
      <formula>"Moderado"</formula>
    </cfRule>
    <cfRule type="cellIs" dxfId="61" priority="48" operator="equal">
      <formula>"Bajo"</formula>
    </cfRule>
  </conditionalFormatting>
  <conditionalFormatting sqref="AB35:AB40">
    <cfRule type="cellIs" dxfId="60" priority="40" operator="equal">
      <formula>"Muy Alta"</formula>
    </cfRule>
    <cfRule type="cellIs" dxfId="59" priority="41" operator="equal">
      <formula>"Alta"</formula>
    </cfRule>
    <cfRule type="cellIs" dxfId="58" priority="42" operator="equal">
      <formula>"Media"</formula>
    </cfRule>
    <cfRule type="cellIs" dxfId="57" priority="43" operator="equal">
      <formula>"Baja"</formula>
    </cfRule>
    <cfRule type="cellIs" dxfId="56" priority="44" operator="equal">
      <formula>"Muy Baja"</formula>
    </cfRule>
  </conditionalFormatting>
  <conditionalFormatting sqref="AD35:AD40">
    <cfRule type="cellIs" dxfId="55" priority="35" operator="equal">
      <formula>"Catastrófico"</formula>
    </cfRule>
    <cfRule type="cellIs" dxfId="54" priority="36" operator="equal">
      <formula>"Mayor"</formula>
    </cfRule>
    <cfRule type="cellIs" dxfId="53" priority="37" operator="equal">
      <formula>"Moderado"</formula>
    </cfRule>
    <cfRule type="cellIs" dxfId="52" priority="38" operator="equal">
      <formula>"Menor"</formula>
    </cfRule>
    <cfRule type="cellIs" dxfId="51" priority="39" operator="equal">
      <formula>"Leve"</formula>
    </cfRule>
  </conditionalFormatting>
  <conditionalFormatting sqref="AF35:AF40">
    <cfRule type="cellIs" dxfId="50" priority="31" operator="equal">
      <formula>"Extremo"</formula>
    </cfRule>
    <cfRule type="cellIs" dxfId="49" priority="32" operator="equal">
      <formula>"Alto"</formula>
    </cfRule>
    <cfRule type="cellIs" dxfId="48" priority="33" operator="equal">
      <formula>"Moderado"</formula>
    </cfRule>
    <cfRule type="cellIs" dxfId="47" priority="34" operator="equal">
      <formula>"Bajo"</formula>
    </cfRule>
  </conditionalFormatting>
  <conditionalFormatting sqref="O35">
    <cfRule type="cellIs" dxfId="46" priority="54" operator="equal">
      <formula>"Catastrófico"</formula>
    </cfRule>
    <cfRule type="cellIs" dxfId="45" priority="55" operator="equal">
      <formula>"Mayor"</formula>
    </cfRule>
    <cfRule type="cellIs" dxfId="44" priority="56" operator="equal">
      <formula>"Moderado"</formula>
    </cfRule>
    <cfRule type="cellIs" dxfId="43" priority="57" operator="equal">
      <formula>"Menor"</formula>
    </cfRule>
    <cfRule type="cellIs" dxfId="42" priority="58" operator="equal">
      <formula>"Leve"</formula>
    </cfRule>
  </conditionalFormatting>
  <conditionalFormatting sqref="K35">
    <cfRule type="cellIs" dxfId="41" priority="49" operator="equal">
      <formula>"Muy Alta"</formula>
    </cfRule>
    <cfRule type="cellIs" dxfId="40" priority="50" operator="equal">
      <formula>"Alta"</formula>
    </cfRule>
    <cfRule type="cellIs" dxfId="39" priority="51" operator="equal">
      <formula>"Media"</formula>
    </cfRule>
    <cfRule type="cellIs" dxfId="38" priority="52" operator="equal">
      <formula>"Baja"</formula>
    </cfRule>
    <cfRule type="cellIs" dxfId="37" priority="53" operator="equal">
      <formula>"Muy Baja"</formula>
    </cfRule>
  </conditionalFormatting>
  <conditionalFormatting sqref="N35:N40">
    <cfRule type="containsText" dxfId="36" priority="30" operator="containsText" text="❌">
      <formula>NOT(ISERROR(SEARCH("❌",N35)))</formula>
    </cfRule>
  </conditionalFormatting>
  <conditionalFormatting sqref="O53">
    <cfRule type="cellIs" dxfId="35" priority="25" operator="equal">
      <formula>"Catastrófico"</formula>
    </cfRule>
    <cfRule type="cellIs" dxfId="34" priority="26" operator="equal">
      <formula>"Mayor"</formula>
    </cfRule>
    <cfRule type="cellIs" dxfId="33" priority="27" operator="equal">
      <formula>"Moderado"</formula>
    </cfRule>
    <cfRule type="cellIs" dxfId="32" priority="28" operator="equal">
      <formula>"Menor"</formula>
    </cfRule>
    <cfRule type="cellIs" dxfId="31" priority="29" operator="equal">
      <formula>"Leve"</formula>
    </cfRule>
  </conditionalFormatting>
  <conditionalFormatting sqref="K53">
    <cfRule type="cellIs" dxfId="30" priority="20" operator="equal">
      <formula>"Muy Alta"</formula>
    </cfRule>
    <cfRule type="cellIs" dxfId="29" priority="21" operator="equal">
      <formula>"Alta"</formula>
    </cfRule>
    <cfRule type="cellIs" dxfId="28" priority="22" operator="equal">
      <formula>"Media"</formula>
    </cfRule>
    <cfRule type="cellIs" dxfId="27" priority="23" operator="equal">
      <formula>"Baja"</formula>
    </cfRule>
    <cfRule type="cellIs" dxfId="26" priority="24" operator="equal">
      <formula>"Muy Baja"</formula>
    </cfRule>
  </conditionalFormatting>
  <conditionalFormatting sqref="Q53">
    <cfRule type="cellIs" dxfId="25" priority="16" operator="equal">
      <formula>"Extremo"</formula>
    </cfRule>
    <cfRule type="cellIs" dxfId="24" priority="17" operator="equal">
      <formula>"Alto"</formula>
    </cfRule>
    <cfRule type="cellIs" dxfId="23" priority="18" operator="equal">
      <formula>"Moderado"</formula>
    </cfRule>
    <cfRule type="cellIs" dxfId="22" priority="19" operator="equal">
      <formula>"Bajo"</formula>
    </cfRule>
  </conditionalFormatting>
  <conditionalFormatting sqref="AB53:AB58">
    <cfRule type="cellIs" dxfId="21" priority="11" operator="equal">
      <formula>"Muy Alta"</formula>
    </cfRule>
    <cfRule type="cellIs" dxfId="20" priority="12" operator="equal">
      <formula>"Alta"</formula>
    </cfRule>
    <cfRule type="cellIs" dxfId="19" priority="13" operator="equal">
      <formula>"Media"</formula>
    </cfRule>
    <cfRule type="cellIs" dxfId="18" priority="14" operator="equal">
      <formula>"Baja"</formula>
    </cfRule>
    <cfRule type="cellIs" dxfId="17" priority="15" operator="equal">
      <formula>"Muy Baja"</formula>
    </cfRule>
  </conditionalFormatting>
  <conditionalFormatting sqref="AD53:AD58">
    <cfRule type="cellIs" dxfId="16" priority="6" operator="equal">
      <formula>"Catastrófico"</formula>
    </cfRule>
    <cfRule type="cellIs" dxfId="15" priority="7" operator="equal">
      <formula>"Mayor"</formula>
    </cfRule>
    <cfRule type="cellIs" dxfId="14" priority="8" operator="equal">
      <formula>"Moderado"</formula>
    </cfRule>
    <cfRule type="cellIs" dxfId="13" priority="9" operator="equal">
      <formula>"Menor"</formula>
    </cfRule>
    <cfRule type="cellIs" dxfId="12" priority="10" operator="equal">
      <formula>"Leve"</formula>
    </cfRule>
  </conditionalFormatting>
  <conditionalFormatting sqref="AF53:AF58">
    <cfRule type="cellIs" dxfId="11" priority="2" operator="equal">
      <formula>"Extremo"</formula>
    </cfRule>
    <cfRule type="cellIs" dxfId="10" priority="3" operator="equal">
      <formula>"Alto"</formula>
    </cfRule>
    <cfRule type="cellIs" dxfId="9" priority="4" operator="equal">
      <formula>"Moderado"</formula>
    </cfRule>
    <cfRule type="cellIs" dxfId="8" priority="5" operator="equal">
      <formula>"Bajo"</formula>
    </cfRule>
  </conditionalFormatting>
  <conditionalFormatting sqref="N53:N58">
    <cfRule type="containsText" dxfId="7" priority="1" operator="containsText" text="❌">
      <formula>NOT(ISERROR(SEARCH("❌",N53)))</formula>
    </cfRule>
  </conditionalFormatting>
  <pageMargins left="0.7" right="0.7" top="0.75" bottom="0.75" header="0.3" footer="0.3"/>
  <pageSetup orientation="portrait" r:id="rId1"/>
  <ignoredErrors>
    <ignoredError sqref="AE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Procesos!$D$16:$D$22</xm:f>
          </x14:formula1>
          <xm:sqref>D11 D23 D29 D47 D59 D17 B11 B17 B59 B47 B29 B23 D71 B71 D41 B41 D35 B35 D53 B53</xm:sqref>
        </x14:dataValidation>
        <x14:dataValidation type="list" allowBlank="1" showInputMessage="1" showErrorMessage="1">
          <x14:formula1>
            <xm:f>Procesos!$E$2:$E$27</xm:f>
          </x14:formula1>
          <xm:sqref>D5:Q5</xm:sqref>
        </x14:dataValidation>
        <x14:dataValidation type="list" allowBlank="1" showInputMessage="1" showErrorMessage="1">
          <x14:formula1>
            <xm:f>Procesos!$A$2:$A$22</xm:f>
          </x14:formula1>
          <xm:sqref>D4:Q4</xm:sqref>
        </x14:dataValidation>
        <x14:dataValidation type="list" allowBlank="1" showInputMessage="1" showErrorMessage="1">
          <x14:formula1>
            <xm:f>'Tabla Valoración controles'!$D$4:$D$6</xm:f>
          </x14:formula1>
          <xm:sqref>U11:U76</xm:sqref>
        </x14:dataValidation>
        <x14:dataValidation type="list" allowBlank="1" showInputMessage="1" showErrorMessage="1">
          <x14:formula1>
            <xm:f>'Tabla Valoración controles'!$D$7:$D$8</xm:f>
          </x14:formula1>
          <xm:sqref>V11:V76</xm:sqref>
        </x14:dataValidation>
        <x14:dataValidation type="list" allowBlank="1" showInputMessage="1" showErrorMessage="1">
          <x14:formula1>
            <xm:f>'Tabla Valoración controles'!$D$9:$D$10</xm:f>
          </x14:formula1>
          <xm:sqref>X11:X76</xm:sqref>
        </x14:dataValidation>
        <x14:dataValidation type="list" allowBlank="1" showInputMessage="1" showErrorMessage="1">
          <x14:formula1>
            <xm:f>'Tabla Valoración controles'!$D$11:$D$12</xm:f>
          </x14:formula1>
          <xm:sqref>Y11:Y76</xm:sqref>
        </x14:dataValidation>
        <x14:dataValidation type="list" allowBlank="1" showInputMessage="1" showErrorMessage="1">
          <x14:formula1>
            <xm:f>'Tabla Valoración controles'!$D$13:$D$14</xm:f>
          </x14:formula1>
          <xm:sqref>Z11:Z76</xm:sqref>
        </x14:dataValidation>
        <x14:dataValidation type="list" allowBlank="1" showInputMessage="1" showErrorMessage="1">
          <x14:formula1>
            <xm:f>'Opciones Tratamiento'!$E$2:$E$4</xm:f>
          </x14:formula1>
          <xm:sqref>D11:D76</xm:sqref>
        </x14:dataValidation>
        <x14:dataValidation type="list" allowBlank="1" showInputMessage="1" showErrorMessage="1">
          <x14:formula1>
            <xm:f>'Opciones Tratamiento'!$B$2:$B$5</xm:f>
          </x14:formula1>
          <xm:sqref>AG11:AG76</xm:sqref>
        </x14:dataValidation>
        <x14:dataValidation type="list" allowBlank="1" showInputMessage="1" showErrorMessage="1">
          <x14:formula1>
            <xm:f>'Tabla Impacto'!$F$210:$F$221</xm:f>
          </x14:formula1>
          <xm:sqref>M11:M76</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AH11:AH76</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AI11:AI76</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AJ11:AJ76</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AK11:AK76</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AL11:AL76</xm:sqref>
        </x14:dataValidation>
        <x14:dataValidation type="list" allowBlank="1" showInputMessage="1" showErrorMessage="1">
          <x14:formula1>
            <xm:f>'Tabla Impacto'!$D$229:$D$237</xm:f>
          </x14:formula1>
          <xm:sqref>G11:G76</xm:sqref>
        </x14:dataValidation>
        <x14:dataValidation type="list" allowBlank="1" showInputMessage="1" showErrorMessage="1">
          <x14:formula1>
            <xm:f>'Opciones Tratamiento'!$B$9:$B$11</xm:f>
          </x14:formula1>
          <xm:sqref>AM11:AM76</xm:sqref>
        </x14:dataValidation>
        <x14:dataValidation type="list" allowBlank="1" showInputMessage="1" showErrorMessage="1">
          <x14:formula1>
            <xm:f>'Opciones Tratamiento'!$B$13:$B$19</xm:f>
          </x14:formula1>
          <xm:sqref>I11:I76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J12" sqref="J12:K13"/>
    </sheetView>
  </sheetViews>
  <sheetFormatPr baseColWidth="10" defaultRowHeight="15" x14ac:dyDescent="0.25"/>
  <cols>
    <col min="2" max="39" width="5.5703125" customWidth="1"/>
    <col min="41" max="46" width="5.570312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71" t="s">
        <v>143</v>
      </c>
      <c r="C2" s="371"/>
      <c r="D2" s="371"/>
      <c r="E2" s="371"/>
      <c r="F2" s="371"/>
      <c r="G2" s="371"/>
      <c r="H2" s="371"/>
      <c r="I2" s="371"/>
      <c r="J2" s="338" t="s">
        <v>2</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71"/>
      <c r="C3" s="371"/>
      <c r="D3" s="371"/>
      <c r="E3" s="371"/>
      <c r="F3" s="371"/>
      <c r="G3" s="371"/>
      <c r="H3" s="371"/>
      <c r="I3" s="371"/>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71"/>
      <c r="C4" s="371"/>
      <c r="D4" s="371"/>
      <c r="E4" s="371"/>
      <c r="F4" s="371"/>
      <c r="G4" s="371"/>
      <c r="H4" s="371"/>
      <c r="I4" s="371"/>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84" t="s">
        <v>3</v>
      </c>
      <c r="C6" s="284"/>
      <c r="D6" s="285"/>
      <c r="E6" s="322" t="s">
        <v>108</v>
      </c>
      <c r="F6" s="323"/>
      <c r="G6" s="323"/>
      <c r="H6" s="323"/>
      <c r="I6" s="324"/>
      <c r="J6" s="334" t="str">
        <f ca="1">IF(AND('Mapa final'!$K$11="Muy Alta",'Mapa final'!$O$11="Leve"),CONCATENATE("R",'Mapa final'!$A$11),"")</f>
        <v/>
      </c>
      <c r="K6" s="335"/>
      <c r="L6" s="335" t="str">
        <f ca="1">IF(AND('Mapa final'!$K$17="Muy Alta",'Mapa final'!$O$17="Leve"),CONCATENATE("R",'Mapa final'!$A$17),"")</f>
        <v/>
      </c>
      <c r="M6" s="335"/>
      <c r="N6" s="335" t="str">
        <f ca="1">IF(AND('Mapa final'!$K$23="Muy Alta",'Mapa final'!$O$23="Leve"),CONCATENATE("R",'Mapa final'!$A$23),"")</f>
        <v/>
      </c>
      <c r="O6" s="337"/>
      <c r="P6" s="334" t="str">
        <f ca="1">IF(AND('Mapa final'!$K$11="Muy Alta",'Mapa final'!$O$11="Menor"),CONCATENATE("R",'Mapa final'!$A$11),"")</f>
        <v/>
      </c>
      <c r="Q6" s="335"/>
      <c r="R6" s="335" t="str">
        <f ca="1">IF(AND('Mapa final'!$K$17="Muy Alta",'Mapa final'!$O$17="Menor"),CONCATENATE("R",'Mapa final'!$A$17),"")</f>
        <v/>
      </c>
      <c r="S6" s="335"/>
      <c r="T6" s="335" t="str">
        <f ca="1">IF(AND('Mapa final'!$K$23="Muy Alta",'Mapa final'!$O$23="Menor"),CONCATENATE("R",'Mapa final'!$A$23),"")</f>
        <v/>
      </c>
      <c r="U6" s="337"/>
      <c r="V6" s="334" t="str">
        <f ca="1">IF(AND('Mapa final'!$K$11="Muy Alta",'Mapa final'!$O$11="Moderado"),CONCATENATE("R",'Mapa final'!$A$11),"")</f>
        <v/>
      </c>
      <c r="W6" s="335"/>
      <c r="X6" s="335" t="str">
        <f ca="1">IF(AND('Mapa final'!$K$17="Muy Alta",'Mapa final'!$O$17="Moderado"),CONCATENATE("R",'Mapa final'!$A$17),"")</f>
        <v/>
      </c>
      <c r="Y6" s="335"/>
      <c r="Z6" s="335" t="str">
        <f ca="1">IF(AND('Mapa final'!$K$23="Muy Alta",'Mapa final'!$O$23="Moderado"),CONCATENATE("R",'Mapa final'!$A$23),"")</f>
        <v/>
      </c>
      <c r="AA6" s="337"/>
      <c r="AB6" s="334" t="str">
        <f ca="1">IF(AND('Mapa final'!$K$11="Muy Alta",'Mapa final'!$O$11="Mayor"),CONCATENATE("R",'Mapa final'!$A$11),"")</f>
        <v/>
      </c>
      <c r="AC6" s="335"/>
      <c r="AD6" s="335" t="str">
        <f ca="1">IF(AND('Mapa final'!$K$17="Muy Alta",'Mapa final'!$O$17="Mayor"),CONCATENATE("R",'Mapa final'!$A$17),"")</f>
        <v/>
      </c>
      <c r="AE6" s="335"/>
      <c r="AF6" s="335" t="str">
        <f ca="1">IF(AND('Mapa final'!$K$23="Muy Alta",'Mapa final'!$O$23="Mayor"),CONCATENATE("R",'Mapa final'!$A$23),"")</f>
        <v/>
      </c>
      <c r="AG6" s="337"/>
      <c r="AH6" s="350" t="str">
        <f ca="1">IF(AND('Mapa final'!$K$11="Muy Alta",'Mapa final'!$O$11="Catastrófico"),CONCATENATE("R",'Mapa final'!$A$11),"")</f>
        <v/>
      </c>
      <c r="AI6" s="351"/>
      <c r="AJ6" s="351" t="str">
        <f ca="1">IF(AND('Mapa final'!$K$17="Muy Alta",'Mapa final'!$O$17="Catastrófico"),CONCATENATE("R",'Mapa final'!$A$17),"")</f>
        <v/>
      </c>
      <c r="AK6" s="351"/>
      <c r="AL6" s="351" t="str">
        <f ca="1">IF(AND('Mapa final'!$K$23="Muy Alta",'Mapa final'!$O$23="Catastrófico"),CONCATENATE("R",'Mapa final'!$A$23),"")</f>
        <v/>
      </c>
      <c r="AM6" s="352"/>
      <c r="AO6" s="286" t="s">
        <v>76</v>
      </c>
      <c r="AP6" s="287"/>
      <c r="AQ6" s="287"/>
      <c r="AR6" s="287"/>
      <c r="AS6" s="287"/>
      <c r="AT6" s="28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84"/>
      <c r="C7" s="284"/>
      <c r="D7" s="285"/>
      <c r="E7" s="325"/>
      <c r="F7" s="326"/>
      <c r="G7" s="326"/>
      <c r="H7" s="326"/>
      <c r="I7" s="327"/>
      <c r="J7" s="336"/>
      <c r="K7" s="333"/>
      <c r="L7" s="333"/>
      <c r="M7" s="333"/>
      <c r="N7" s="333"/>
      <c r="O7" s="332"/>
      <c r="P7" s="336"/>
      <c r="Q7" s="333"/>
      <c r="R7" s="333"/>
      <c r="S7" s="333"/>
      <c r="T7" s="333"/>
      <c r="U7" s="332"/>
      <c r="V7" s="336"/>
      <c r="W7" s="333"/>
      <c r="X7" s="333"/>
      <c r="Y7" s="333"/>
      <c r="Z7" s="333"/>
      <c r="AA7" s="332"/>
      <c r="AB7" s="336"/>
      <c r="AC7" s="333"/>
      <c r="AD7" s="333"/>
      <c r="AE7" s="333"/>
      <c r="AF7" s="333"/>
      <c r="AG7" s="332"/>
      <c r="AH7" s="344"/>
      <c r="AI7" s="345"/>
      <c r="AJ7" s="345"/>
      <c r="AK7" s="345"/>
      <c r="AL7" s="345"/>
      <c r="AM7" s="346"/>
      <c r="AN7" s="83"/>
      <c r="AO7" s="289"/>
      <c r="AP7" s="290"/>
      <c r="AQ7" s="290"/>
      <c r="AR7" s="290"/>
      <c r="AS7" s="290"/>
      <c r="AT7" s="29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84"/>
      <c r="C8" s="284"/>
      <c r="D8" s="285"/>
      <c r="E8" s="325"/>
      <c r="F8" s="326"/>
      <c r="G8" s="326"/>
      <c r="H8" s="326"/>
      <c r="I8" s="327"/>
      <c r="J8" s="336" t="str">
        <f ca="1">IF(AND('Mapa final'!$K$29="Muy Alta",'Mapa final'!$O$29="Leve"),CONCATENATE("R",'Mapa final'!$A$29),"")</f>
        <v/>
      </c>
      <c r="K8" s="333"/>
      <c r="L8" s="331" t="str">
        <f ca="1">IF(AND('Mapa final'!$K$41="Muy Alta",'Mapa final'!$O$41="Leve"),CONCATENATE("R",'Mapa final'!$A$41),"")</f>
        <v/>
      </c>
      <c r="M8" s="331"/>
      <c r="N8" s="331" t="e">
        <f>IF(AND('Mapa final'!#REF!="Muy Alta",'Mapa final'!#REF!="Leve"),CONCATENATE("R",'Mapa final'!#REF!),"")</f>
        <v>#REF!</v>
      </c>
      <c r="O8" s="332"/>
      <c r="P8" s="336" t="str">
        <f ca="1">IF(AND('Mapa final'!$K$29="Muy Alta",'Mapa final'!$O$29="Menor"),CONCATENATE("R",'Mapa final'!$A$29),"")</f>
        <v/>
      </c>
      <c r="Q8" s="333"/>
      <c r="R8" s="331" t="str">
        <f ca="1">IF(AND('Mapa final'!$K$41="Muy Alta",'Mapa final'!$O$41="Menor"),CONCATENATE("R",'Mapa final'!$A$41),"")</f>
        <v/>
      </c>
      <c r="S8" s="331"/>
      <c r="T8" s="331" t="e">
        <f>IF(AND('Mapa final'!#REF!="Muy Alta",'Mapa final'!#REF!="Menor"),CONCATENATE("R",'Mapa final'!#REF!),"")</f>
        <v>#REF!</v>
      </c>
      <c r="U8" s="332"/>
      <c r="V8" s="336" t="str">
        <f ca="1">IF(AND('Mapa final'!$K$29="Muy Alta",'Mapa final'!$O$29="Moderado"),CONCATENATE("R",'Mapa final'!$A$29),"")</f>
        <v/>
      </c>
      <c r="W8" s="333"/>
      <c r="X8" s="331" t="str">
        <f ca="1">IF(AND('Mapa final'!$K$41="Muy Alta",'Mapa final'!$O$41="Moderado"),CONCATENATE("R",'Mapa final'!$A$41),"")</f>
        <v/>
      </c>
      <c r="Y8" s="331"/>
      <c r="Z8" s="331" t="e">
        <f>IF(AND('Mapa final'!#REF!="Muy Alta",'Mapa final'!#REF!="Moderado"),CONCATENATE("R",'Mapa final'!#REF!),"")</f>
        <v>#REF!</v>
      </c>
      <c r="AA8" s="332"/>
      <c r="AB8" s="336" t="str">
        <f ca="1">IF(AND('Mapa final'!$K$29="Muy Alta",'Mapa final'!$O$29="Mayor"),CONCATENATE("R",'Mapa final'!$A$29),"")</f>
        <v/>
      </c>
      <c r="AC8" s="333"/>
      <c r="AD8" s="331" t="str">
        <f ca="1">IF(AND('Mapa final'!$K$41="Muy Alta",'Mapa final'!$O$41="Mayor"),CONCATENATE("R",'Mapa final'!$A$41),"")</f>
        <v/>
      </c>
      <c r="AE8" s="331"/>
      <c r="AF8" s="331" t="e">
        <f>IF(AND('Mapa final'!#REF!="Muy Alta",'Mapa final'!#REF!="Mayor"),CONCATENATE("R",'Mapa final'!#REF!),"")</f>
        <v>#REF!</v>
      </c>
      <c r="AG8" s="332"/>
      <c r="AH8" s="344" t="str">
        <f ca="1">IF(AND('Mapa final'!$K$29="Muy Alta",'Mapa final'!$O$29="Catastrófico"),CONCATENATE("R",'Mapa final'!$A$29),"")</f>
        <v/>
      </c>
      <c r="AI8" s="345"/>
      <c r="AJ8" s="345" t="str">
        <f ca="1">IF(AND('Mapa final'!$K$41="Muy Alta",'Mapa final'!$O$41="Catastrófico"),CONCATENATE("R",'Mapa final'!$A$41),"")</f>
        <v/>
      </c>
      <c r="AK8" s="345"/>
      <c r="AL8" s="345" t="e">
        <f>IF(AND('Mapa final'!#REF!="Muy Alta",'Mapa final'!#REF!="Catastrófico"),CONCATENATE("R",'Mapa final'!#REF!),"")</f>
        <v>#REF!</v>
      </c>
      <c r="AM8" s="346"/>
      <c r="AN8" s="83"/>
      <c r="AO8" s="289"/>
      <c r="AP8" s="290"/>
      <c r="AQ8" s="290"/>
      <c r="AR8" s="290"/>
      <c r="AS8" s="290"/>
      <c r="AT8" s="29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84"/>
      <c r="C9" s="284"/>
      <c r="D9" s="285"/>
      <c r="E9" s="325"/>
      <c r="F9" s="326"/>
      <c r="G9" s="326"/>
      <c r="H9" s="326"/>
      <c r="I9" s="327"/>
      <c r="J9" s="336"/>
      <c r="K9" s="333"/>
      <c r="L9" s="331"/>
      <c r="M9" s="331"/>
      <c r="N9" s="331"/>
      <c r="O9" s="332"/>
      <c r="P9" s="336"/>
      <c r="Q9" s="333"/>
      <c r="R9" s="331"/>
      <c r="S9" s="331"/>
      <c r="T9" s="331"/>
      <c r="U9" s="332"/>
      <c r="V9" s="336"/>
      <c r="W9" s="333"/>
      <c r="X9" s="331"/>
      <c r="Y9" s="331"/>
      <c r="Z9" s="331"/>
      <c r="AA9" s="332"/>
      <c r="AB9" s="336"/>
      <c r="AC9" s="333"/>
      <c r="AD9" s="331"/>
      <c r="AE9" s="331"/>
      <c r="AF9" s="331"/>
      <c r="AG9" s="332"/>
      <c r="AH9" s="344"/>
      <c r="AI9" s="345"/>
      <c r="AJ9" s="345"/>
      <c r="AK9" s="345"/>
      <c r="AL9" s="345"/>
      <c r="AM9" s="346"/>
      <c r="AN9" s="83"/>
      <c r="AO9" s="289"/>
      <c r="AP9" s="290"/>
      <c r="AQ9" s="290"/>
      <c r="AR9" s="290"/>
      <c r="AS9" s="290"/>
      <c r="AT9" s="29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84"/>
      <c r="C10" s="284"/>
      <c r="D10" s="285"/>
      <c r="E10" s="325"/>
      <c r="F10" s="326"/>
      <c r="G10" s="326"/>
      <c r="H10" s="326"/>
      <c r="I10" s="327"/>
      <c r="J10" s="336" t="e">
        <f>IF(AND('Mapa final'!#REF!="Muy Alta",'Mapa final'!#REF!="Leve"),CONCATENATE("R",'Mapa final'!#REF!),"")</f>
        <v>#REF!</v>
      </c>
      <c r="K10" s="333"/>
      <c r="L10" s="331" t="str">
        <f ca="1">IF(AND('Mapa final'!$K$47="Muy Alta",'Mapa final'!$O$47="Leve"),CONCATENATE("R",'Mapa final'!$A$47),"")</f>
        <v/>
      </c>
      <c r="M10" s="331"/>
      <c r="N10" s="331" t="str">
        <f ca="1">IF(AND('Mapa final'!$K$59="Muy Alta",'Mapa final'!$O$59="Leve"),CONCATENATE("R",'Mapa final'!$A$59),"")</f>
        <v/>
      </c>
      <c r="O10" s="332"/>
      <c r="P10" s="336" t="e">
        <f>IF(AND('Mapa final'!#REF!="Muy Alta",'Mapa final'!#REF!="Menor"),CONCATENATE("R",'Mapa final'!#REF!),"")</f>
        <v>#REF!</v>
      </c>
      <c r="Q10" s="333"/>
      <c r="R10" s="331" t="str">
        <f ca="1">IF(AND('Mapa final'!$K$47="Muy Alta",'Mapa final'!$O$47="Menor"),CONCATENATE("R",'Mapa final'!$A$47),"")</f>
        <v/>
      </c>
      <c r="S10" s="331"/>
      <c r="T10" s="331" t="str">
        <f ca="1">IF(AND('Mapa final'!$K$59="Muy Alta",'Mapa final'!$O$59="Menor"),CONCATENATE("R",'Mapa final'!$A$59),"")</f>
        <v/>
      </c>
      <c r="U10" s="332"/>
      <c r="V10" s="336" t="e">
        <f>IF(AND('Mapa final'!#REF!="Muy Alta",'Mapa final'!#REF!="Moderado"),CONCATENATE("R",'Mapa final'!#REF!),"")</f>
        <v>#REF!</v>
      </c>
      <c r="W10" s="333"/>
      <c r="X10" s="331" t="str">
        <f ca="1">IF(AND('Mapa final'!$K$47="Muy Alta",'Mapa final'!$O$47="Moderado"),CONCATENATE("R",'Mapa final'!$A$47),"")</f>
        <v/>
      </c>
      <c r="Y10" s="331"/>
      <c r="Z10" s="331" t="str">
        <f ca="1">IF(AND('Mapa final'!$K$59="Muy Alta",'Mapa final'!$O$59="Moderado"),CONCATENATE("R",'Mapa final'!$A$59),"")</f>
        <v/>
      </c>
      <c r="AA10" s="332"/>
      <c r="AB10" s="336" t="e">
        <f>IF(AND('Mapa final'!#REF!="Muy Alta",'Mapa final'!#REF!="Mayor"),CONCATENATE("R",'Mapa final'!#REF!),"")</f>
        <v>#REF!</v>
      </c>
      <c r="AC10" s="333"/>
      <c r="AD10" s="331" t="str">
        <f ca="1">IF(AND('Mapa final'!$K$47="Muy Alta",'Mapa final'!$O$47="Mayor"),CONCATENATE("R",'Mapa final'!$A$47),"")</f>
        <v/>
      </c>
      <c r="AE10" s="331"/>
      <c r="AF10" s="331" t="str">
        <f ca="1">IF(AND('Mapa final'!$K$59="Muy Alta",'Mapa final'!$O$59="Mayor"),CONCATENATE("R",'Mapa final'!$A$59),"")</f>
        <v/>
      </c>
      <c r="AG10" s="332"/>
      <c r="AH10" s="344" t="e">
        <f>IF(AND('Mapa final'!#REF!="Muy Alta",'Mapa final'!#REF!="Catastrófico"),CONCATENATE("R",'Mapa final'!#REF!),"")</f>
        <v>#REF!</v>
      </c>
      <c r="AI10" s="345"/>
      <c r="AJ10" s="345" t="str">
        <f ca="1">IF(AND('Mapa final'!$K$47="Muy Alta",'Mapa final'!$O$47="Catastrófico"),CONCATENATE("R",'Mapa final'!$A$47),"")</f>
        <v/>
      </c>
      <c r="AK10" s="345"/>
      <c r="AL10" s="345" t="str">
        <f ca="1">IF(AND('Mapa final'!$K$59="Muy Alta",'Mapa final'!$O$59="Catastrófico"),CONCATENATE("R",'Mapa final'!$A$59),"")</f>
        <v/>
      </c>
      <c r="AM10" s="346"/>
      <c r="AN10" s="83"/>
      <c r="AO10" s="289"/>
      <c r="AP10" s="290"/>
      <c r="AQ10" s="290"/>
      <c r="AR10" s="290"/>
      <c r="AS10" s="290"/>
      <c r="AT10" s="29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84"/>
      <c r="C11" s="284"/>
      <c r="D11" s="285"/>
      <c r="E11" s="325"/>
      <c r="F11" s="326"/>
      <c r="G11" s="326"/>
      <c r="H11" s="326"/>
      <c r="I11" s="327"/>
      <c r="J11" s="336"/>
      <c r="K11" s="333"/>
      <c r="L11" s="331"/>
      <c r="M11" s="331"/>
      <c r="N11" s="331"/>
      <c r="O11" s="332"/>
      <c r="P11" s="336"/>
      <c r="Q11" s="333"/>
      <c r="R11" s="331"/>
      <c r="S11" s="331"/>
      <c r="T11" s="331"/>
      <c r="U11" s="332"/>
      <c r="V11" s="336"/>
      <c r="W11" s="333"/>
      <c r="X11" s="331"/>
      <c r="Y11" s="331"/>
      <c r="Z11" s="331"/>
      <c r="AA11" s="332"/>
      <c r="AB11" s="336"/>
      <c r="AC11" s="333"/>
      <c r="AD11" s="331"/>
      <c r="AE11" s="331"/>
      <c r="AF11" s="331"/>
      <c r="AG11" s="332"/>
      <c r="AH11" s="344"/>
      <c r="AI11" s="345"/>
      <c r="AJ11" s="345"/>
      <c r="AK11" s="345"/>
      <c r="AL11" s="345"/>
      <c r="AM11" s="346"/>
      <c r="AN11" s="83"/>
      <c r="AO11" s="289"/>
      <c r="AP11" s="290"/>
      <c r="AQ11" s="290"/>
      <c r="AR11" s="290"/>
      <c r="AS11" s="290"/>
      <c r="AT11" s="29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84"/>
      <c r="C12" s="284"/>
      <c r="D12" s="285"/>
      <c r="E12" s="325"/>
      <c r="F12" s="326"/>
      <c r="G12" s="326"/>
      <c r="H12" s="326"/>
      <c r="I12" s="327"/>
      <c r="J12" s="336" t="str">
        <f ca="1">IF(AND('Mapa final'!$K$71="Muy Alta",'Mapa final'!$O$71="Leve"),CONCATENATE("R",'Mapa final'!$A$71),"")</f>
        <v/>
      </c>
      <c r="K12" s="333"/>
      <c r="L12" s="331" t="str">
        <f>IF(AND('Mapa final'!$K$77="Muy Alta",'Mapa final'!$O$77="Leve"),CONCATENATE("R",'Mapa final'!$A$77),"")</f>
        <v/>
      </c>
      <c r="M12" s="331"/>
      <c r="N12" s="331" t="str">
        <f>IF(AND('Mapa final'!$K$83="Muy Alta",'Mapa final'!$O$83="Leve"),CONCATENATE("R",'Mapa final'!$A$83),"")</f>
        <v/>
      </c>
      <c r="O12" s="332"/>
      <c r="P12" s="336" t="str">
        <f ca="1">IF(AND('Mapa final'!$K$71="Muy Alta",'Mapa final'!$O$71="Menor"),CONCATENATE("R",'Mapa final'!$A$71),"")</f>
        <v/>
      </c>
      <c r="Q12" s="333"/>
      <c r="R12" s="331" t="str">
        <f>IF(AND('Mapa final'!$K$77="Muy Alta",'Mapa final'!$O$77="Menor"),CONCATENATE("R",'Mapa final'!$A$77),"")</f>
        <v/>
      </c>
      <c r="S12" s="331"/>
      <c r="T12" s="331" t="str">
        <f>IF(AND('Mapa final'!$K$83="Muy Alta",'Mapa final'!$O$83="Menor"),CONCATENATE("R",'Mapa final'!$A$83),"")</f>
        <v/>
      </c>
      <c r="U12" s="332"/>
      <c r="V12" s="336" t="str">
        <f ca="1">IF(AND('Mapa final'!$K$71="Muy Alta",'Mapa final'!$O$71="Moderado"),CONCATENATE("R",'Mapa final'!$A$71),"")</f>
        <v/>
      </c>
      <c r="W12" s="333"/>
      <c r="X12" s="331" t="str">
        <f>IF(AND('Mapa final'!$K$77="Muy Alta",'Mapa final'!$O$77="Moderado"),CONCATENATE("R",'Mapa final'!$A$77),"")</f>
        <v/>
      </c>
      <c r="Y12" s="331"/>
      <c r="Z12" s="331" t="str">
        <f>IF(AND('Mapa final'!$K$83="Muy Alta",'Mapa final'!$O$83="Moderado"),CONCATENATE("R",'Mapa final'!$A$83),"")</f>
        <v/>
      </c>
      <c r="AA12" s="332"/>
      <c r="AB12" s="336" t="str">
        <f ca="1">IF(AND('Mapa final'!$K$71="Muy Alta",'Mapa final'!$O$71="Mayor"),CONCATENATE("R",'Mapa final'!$A$71),"")</f>
        <v/>
      </c>
      <c r="AC12" s="333"/>
      <c r="AD12" s="331" t="str">
        <f>IF(AND('Mapa final'!$K$77="Muy Alta",'Mapa final'!$O$77="Mayor"),CONCATENATE("R",'Mapa final'!$A$77),"")</f>
        <v/>
      </c>
      <c r="AE12" s="331"/>
      <c r="AF12" s="331" t="str">
        <f>IF(AND('Mapa final'!$K$83="Muy Alta",'Mapa final'!$O$83="Mayor"),CONCATENATE("R",'Mapa final'!$A$83),"")</f>
        <v/>
      </c>
      <c r="AG12" s="332"/>
      <c r="AH12" s="344" t="str">
        <f ca="1">IF(AND('Mapa final'!$K$71="Muy Alta",'Mapa final'!$O$71="Catastrófico"),CONCATENATE("R",'Mapa final'!$A$71),"")</f>
        <v/>
      </c>
      <c r="AI12" s="345"/>
      <c r="AJ12" s="345" t="str">
        <f>IF(AND('Mapa final'!$K$77="Muy Alta",'Mapa final'!$O$77="Catastrófico"),CONCATENATE("R",'Mapa final'!$A$77),"")</f>
        <v/>
      </c>
      <c r="AK12" s="345"/>
      <c r="AL12" s="345" t="str">
        <f>IF(AND('Mapa final'!$K$83="Muy Alta",'Mapa final'!$O$83="Catastrófico"),CONCATENATE("R",'Mapa final'!$A$83),"")</f>
        <v/>
      </c>
      <c r="AM12" s="346"/>
      <c r="AN12" s="83"/>
      <c r="AO12" s="289"/>
      <c r="AP12" s="290"/>
      <c r="AQ12" s="290"/>
      <c r="AR12" s="290"/>
      <c r="AS12" s="290"/>
      <c r="AT12" s="29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84"/>
      <c r="C13" s="284"/>
      <c r="D13" s="285"/>
      <c r="E13" s="328"/>
      <c r="F13" s="329"/>
      <c r="G13" s="329"/>
      <c r="H13" s="329"/>
      <c r="I13" s="330"/>
      <c r="J13" s="336"/>
      <c r="K13" s="333"/>
      <c r="L13" s="333"/>
      <c r="M13" s="333"/>
      <c r="N13" s="333"/>
      <c r="O13" s="332"/>
      <c r="P13" s="336"/>
      <c r="Q13" s="333"/>
      <c r="R13" s="333"/>
      <c r="S13" s="333"/>
      <c r="T13" s="333"/>
      <c r="U13" s="332"/>
      <c r="V13" s="336"/>
      <c r="W13" s="333"/>
      <c r="X13" s="333"/>
      <c r="Y13" s="333"/>
      <c r="Z13" s="333"/>
      <c r="AA13" s="332"/>
      <c r="AB13" s="336"/>
      <c r="AC13" s="333"/>
      <c r="AD13" s="333"/>
      <c r="AE13" s="333"/>
      <c r="AF13" s="333"/>
      <c r="AG13" s="332"/>
      <c r="AH13" s="347"/>
      <c r="AI13" s="348"/>
      <c r="AJ13" s="348"/>
      <c r="AK13" s="348"/>
      <c r="AL13" s="348"/>
      <c r="AM13" s="349"/>
      <c r="AN13" s="83"/>
      <c r="AO13" s="292"/>
      <c r="AP13" s="293"/>
      <c r="AQ13" s="293"/>
      <c r="AR13" s="293"/>
      <c r="AS13" s="293"/>
      <c r="AT13" s="29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84"/>
      <c r="C14" s="284"/>
      <c r="D14" s="285"/>
      <c r="E14" s="322" t="s">
        <v>107</v>
      </c>
      <c r="F14" s="323"/>
      <c r="G14" s="323"/>
      <c r="H14" s="323"/>
      <c r="I14" s="323"/>
      <c r="J14" s="359" t="str">
        <f ca="1">IF(AND('Mapa final'!$K$11="Alta",'Mapa final'!$O$11="Leve"),CONCATENATE("R",'Mapa final'!$A$11),"")</f>
        <v/>
      </c>
      <c r="K14" s="360"/>
      <c r="L14" s="360" t="str">
        <f ca="1">IF(AND('Mapa final'!$K$17="Alta",'Mapa final'!$O$17="Leve"),CONCATENATE("R",'Mapa final'!$A$17),"")</f>
        <v/>
      </c>
      <c r="M14" s="360"/>
      <c r="N14" s="360" t="str">
        <f ca="1">IF(AND('Mapa final'!$K$23="Alta",'Mapa final'!$O$23="Leve"),CONCATENATE("R",'Mapa final'!$A$23),"")</f>
        <v/>
      </c>
      <c r="O14" s="361"/>
      <c r="P14" s="359" t="str">
        <f ca="1">IF(AND('Mapa final'!$K$11="Alta",'Mapa final'!$O$11="Menor"),CONCATENATE("R",'Mapa final'!$A$11),"")</f>
        <v/>
      </c>
      <c r="Q14" s="360"/>
      <c r="R14" s="360" t="str">
        <f ca="1">IF(AND('Mapa final'!$K$17="Alta",'Mapa final'!$O$17="Menor"),CONCATENATE("R",'Mapa final'!$A$17),"")</f>
        <v/>
      </c>
      <c r="S14" s="360"/>
      <c r="T14" s="360" t="str">
        <f ca="1">IF(AND('Mapa final'!$K$23="Alta",'Mapa final'!$O$23="Menor"),CONCATENATE("R",'Mapa final'!$A$23),"")</f>
        <v/>
      </c>
      <c r="U14" s="361"/>
      <c r="V14" s="334" t="str">
        <f ca="1">IF(AND('Mapa final'!$K$11="Alta",'Mapa final'!$O$11="Moderado"),CONCATENATE("R",'Mapa final'!$A$11),"")</f>
        <v/>
      </c>
      <c r="W14" s="335"/>
      <c r="X14" s="335" t="str">
        <f ca="1">IF(AND('Mapa final'!$K$17="Alta",'Mapa final'!$O$17="Moderado"),CONCATENATE("R",'Mapa final'!$A$17),"")</f>
        <v/>
      </c>
      <c r="Y14" s="335"/>
      <c r="Z14" s="335" t="str">
        <f ca="1">IF(AND('Mapa final'!$K$23="Alta",'Mapa final'!$O$23="Moderado"),CONCATENATE("R",'Mapa final'!$A$23),"")</f>
        <v/>
      </c>
      <c r="AA14" s="337"/>
      <c r="AB14" s="334" t="str">
        <f ca="1">IF(AND('Mapa final'!$K$11="Alta",'Mapa final'!$O$11="Mayor"),CONCATENATE("R",'Mapa final'!$A$11),"")</f>
        <v/>
      </c>
      <c r="AC14" s="335"/>
      <c r="AD14" s="335" t="str">
        <f ca="1">IF(AND('Mapa final'!$K$17="Alta",'Mapa final'!$O$17="Mayor"),CONCATENATE("R",'Mapa final'!$A$17),"")</f>
        <v/>
      </c>
      <c r="AE14" s="335"/>
      <c r="AF14" s="335" t="str">
        <f ca="1">IF(AND('Mapa final'!$K$23="Alta",'Mapa final'!$O$23="Mayor"),CONCATENATE("R",'Mapa final'!$A$23),"")</f>
        <v/>
      </c>
      <c r="AG14" s="337"/>
      <c r="AH14" s="350" t="str">
        <f ca="1">IF(AND('Mapa final'!$K$11="Alta",'Mapa final'!$O$11="Catastrófico"),CONCATENATE("R",'Mapa final'!$A$11),"")</f>
        <v/>
      </c>
      <c r="AI14" s="351"/>
      <c r="AJ14" s="351" t="str">
        <f ca="1">IF(AND('Mapa final'!$K$17="Alta",'Mapa final'!$O$17="Catastrófico"),CONCATENATE("R",'Mapa final'!$A$17),"")</f>
        <v/>
      </c>
      <c r="AK14" s="351"/>
      <c r="AL14" s="351" t="str">
        <f ca="1">IF(AND('Mapa final'!$K$23="Alta",'Mapa final'!$O$23="Catastrófico"),CONCATENATE("R",'Mapa final'!$A$23),"")</f>
        <v/>
      </c>
      <c r="AM14" s="352"/>
      <c r="AN14" s="83"/>
      <c r="AO14" s="295" t="s">
        <v>77</v>
      </c>
      <c r="AP14" s="296"/>
      <c r="AQ14" s="296"/>
      <c r="AR14" s="296"/>
      <c r="AS14" s="296"/>
      <c r="AT14" s="29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84"/>
      <c r="C15" s="284"/>
      <c r="D15" s="285"/>
      <c r="E15" s="325"/>
      <c r="F15" s="326"/>
      <c r="G15" s="326"/>
      <c r="H15" s="326"/>
      <c r="I15" s="339"/>
      <c r="J15" s="353"/>
      <c r="K15" s="354"/>
      <c r="L15" s="354"/>
      <c r="M15" s="354"/>
      <c r="N15" s="354"/>
      <c r="O15" s="355"/>
      <c r="P15" s="353"/>
      <c r="Q15" s="354"/>
      <c r="R15" s="354"/>
      <c r="S15" s="354"/>
      <c r="T15" s="354"/>
      <c r="U15" s="355"/>
      <c r="V15" s="336"/>
      <c r="W15" s="333"/>
      <c r="X15" s="333"/>
      <c r="Y15" s="333"/>
      <c r="Z15" s="333"/>
      <c r="AA15" s="332"/>
      <c r="AB15" s="336"/>
      <c r="AC15" s="333"/>
      <c r="AD15" s="333"/>
      <c r="AE15" s="333"/>
      <c r="AF15" s="333"/>
      <c r="AG15" s="332"/>
      <c r="AH15" s="344"/>
      <c r="AI15" s="345"/>
      <c r="AJ15" s="345"/>
      <c r="AK15" s="345"/>
      <c r="AL15" s="345"/>
      <c r="AM15" s="346"/>
      <c r="AN15" s="83"/>
      <c r="AO15" s="298"/>
      <c r="AP15" s="299"/>
      <c r="AQ15" s="299"/>
      <c r="AR15" s="299"/>
      <c r="AS15" s="299"/>
      <c r="AT15" s="30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84"/>
      <c r="C16" s="284"/>
      <c r="D16" s="285"/>
      <c r="E16" s="325"/>
      <c r="F16" s="326"/>
      <c r="G16" s="326"/>
      <c r="H16" s="326"/>
      <c r="I16" s="339"/>
      <c r="J16" s="353" t="str">
        <f ca="1">IF(AND('Mapa final'!$K$29="Alta",'Mapa final'!$O$29="Leve"),CONCATENATE("R",'Mapa final'!$A$29),"")</f>
        <v/>
      </c>
      <c r="K16" s="354"/>
      <c r="L16" s="354" t="str">
        <f ca="1">IF(AND('Mapa final'!$K$41="Alta",'Mapa final'!$O$41="Leve"),CONCATENATE("R",'Mapa final'!$A$41),"")</f>
        <v/>
      </c>
      <c r="M16" s="354"/>
      <c r="N16" s="354" t="e">
        <f>IF(AND('Mapa final'!#REF!="Alta",'Mapa final'!#REF!="Leve"),CONCATENATE("R",'Mapa final'!#REF!),"")</f>
        <v>#REF!</v>
      </c>
      <c r="O16" s="355"/>
      <c r="P16" s="353" t="str">
        <f ca="1">IF(AND('Mapa final'!$K$29="Alta",'Mapa final'!$O$29="Menor"),CONCATENATE("R",'Mapa final'!$A$29),"")</f>
        <v/>
      </c>
      <c r="Q16" s="354"/>
      <c r="R16" s="354" t="str">
        <f ca="1">IF(AND('Mapa final'!$K$41="Alta",'Mapa final'!$O$41="Menor"),CONCATENATE("R",'Mapa final'!$A$41),"")</f>
        <v/>
      </c>
      <c r="S16" s="354"/>
      <c r="T16" s="354" t="e">
        <f>IF(AND('Mapa final'!#REF!="Alta",'Mapa final'!#REF!="Menor"),CONCATENATE("R",'Mapa final'!#REF!),"")</f>
        <v>#REF!</v>
      </c>
      <c r="U16" s="355"/>
      <c r="V16" s="336" t="str">
        <f ca="1">IF(AND('Mapa final'!$K$29="Alta",'Mapa final'!$O$29="Moderado"),CONCATENATE("R",'Mapa final'!$A$29),"")</f>
        <v/>
      </c>
      <c r="W16" s="333"/>
      <c r="X16" s="331" t="str">
        <f ca="1">IF(AND('Mapa final'!$K$41="Alta",'Mapa final'!$O$41="Moderado"),CONCATENATE("R",'Mapa final'!$A$41),"")</f>
        <v/>
      </c>
      <c r="Y16" s="331"/>
      <c r="Z16" s="331" t="e">
        <f>IF(AND('Mapa final'!#REF!="Alta",'Mapa final'!#REF!="Moderado"),CONCATENATE("R",'Mapa final'!#REF!),"")</f>
        <v>#REF!</v>
      </c>
      <c r="AA16" s="332"/>
      <c r="AB16" s="336" t="str">
        <f ca="1">IF(AND('Mapa final'!$K$29="Alta",'Mapa final'!$O$29="Mayor"),CONCATENATE("R",'Mapa final'!$A$29),"")</f>
        <v/>
      </c>
      <c r="AC16" s="333"/>
      <c r="AD16" s="331" t="str">
        <f ca="1">IF(AND('Mapa final'!$K$41="Alta",'Mapa final'!$O$41="Mayor"),CONCATENATE("R",'Mapa final'!$A$41),"")</f>
        <v/>
      </c>
      <c r="AE16" s="331"/>
      <c r="AF16" s="331" t="e">
        <f>IF(AND('Mapa final'!#REF!="Alta",'Mapa final'!#REF!="Mayor"),CONCATENATE("R",'Mapa final'!#REF!),"")</f>
        <v>#REF!</v>
      </c>
      <c r="AG16" s="332"/>
      <c r="AH16" s="344" t="str">
        <f ca="1">IF(AND('Mapa final'!$K$29="Alta",'Mapa final'!$O$29="Catastrófico"),CONCATENATE("R",'Mapa final'!$A$29),"")</f>
        <v/>
      </c>
      <c r="AI16" s="345"/>
      <c r="AJ16" s="345" t="str">
        <f ca="1">IF(AND('Mapa final'!$K$41="Alta",'Mapa final'!$O$41="Catastrófico"),CONCATENATE("R",'Mapa final'!$A$41),"")</f>
        <v/>
      </c>
      <c r="AK16" s="345"/>
      <c r="AL16" s="345" t="e">
        <f>IF(AND('Mapa final'!#REF!="Alta",'Mapa final'!#REF!="Catastrófico"),CONCATENATE("R",'Mapa final'!#REF!),"")</f>
        <v>#REF!</v>
      </c>
      <c r="AM16" s="346"/>
      <c r="AN16" s="83"/>
      <c r="AO16" s="298"/>
      <c r="AP16" s="299"/>
      <c r="AQ16" s="299"/>
      <c r="AR16" s="299"/>
      <c r="AS16" s="299"/>
      <c r="AT16" s="30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84"/>
      <c r="C17" s="284"/>
      <c r="D17" s="285"/>
      <c r="E17" s="325"/>
      <c r="F17" s="326"/>
      <c r="G17" s="326"/>
      <c r="H17" s="326"/>
      <c r="I17" s="339"/>
      <c r="J17" s="353"/>
      <c r="K17" s="354"/>
      <c r="L17" s="354"/>
      <c r="M17" s="354"/>
      <c r="N17" s="354"/>
      <c r="O17" s="355"/>
      <c r="P17" s="353"/>
      <c r="Q17" s="354"/>
      <c r="R17" s="354"/>
      <c r="S17" s="354"/>
      <c r="T17" s="354"/>
      <c r="U17" s="355"/>
      <c r="V17" s="336"/>
      <c r="W17" s="333"/>
      <c r="X17" s="331"/>
      <c r="Y17" s="331"/>
      <c r="Z17" s="331"/>
      <c r="AA17" s="332"/>
      <c r="AB17" s="336"/>
      <c r="AC17" s="333"/>
      <c r="AD17" s="331"/>
      <c r="AE17" s="331"/>
      <c r="AF17" s="331"/>
      <c r="AG17" s="332"/>
      <c r="AH17" s="344"/>
      <c r="AI17" s="345"/>
      <c r="AJ17" s="345"/>
      <c r="AK17" s="345"/>
      <c r="AL17" s="345"/>
      <c r="AM17" s="346"/>
      <c r="AN17" s="83"/>
      <c r="AO17" s="298"/>
      <c r="AP17" s="299"/>
      <c r="AQ17" s="299"/>
      <c r="AR17" s="299"/>
      <c r="AS17" s="299"/>
      <c r="AT17" s="30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84"/>
      <c r="C18" s="284"/>
      <c r="D18" s="285"/>
      <c r="E18" s="325"/>
      <c r="F18" s="326"/>
      <c r="G18" s="326"/>
      <c r="H18" s="326"/>
      <c r="I18" s="339"/>
      <c r="J18" s="353" t="e">
        <f>IF(AND('Mapa final'!#REF!="Alta",'Mapa final'!#REF!="Leve"),CONCATENATE("R",'Mapa final'!#REF!),"")</f>
        <v>#REF!</v>
      </c>
      <c r="K18" s="354"/>
      <c r="L18" s="354" t="str">
        <f ca="1">IF(AND('Mapa final'!$K$47="Alta",'Mapa final'!$O$47="Leve"),CONCATENATE("R",'Mapa final'!$A$47),"")</f>
        <v/>
      </c>
      <c r="M18" s="354"/>
      <c r="N18" s="354" t="str">
        <f ca="1">IF(AND('Mapa final'!$K$59="Alta",'Mapa final'!$O$59="Leve"),CONCATENATE("R",'Mapa final'!$A$59),"")</f>
        <v/>
      </c>
      <c r="O18" s="355"/>
      <c r="P18" s="353" t="e">
        <f>IF(AND('Mapa final'!#REF!="Alta",'Mapa final'!#REF!="Menor"),CONCATENATE("R",'Mapa final'!#REF!),"")</f>
        <v>#REF!</v>
      </c>
      <c r="Q18" s="354"/>
      <c r="R18" s="354" t="str">
        <f ca="1">IF(AND('Mapa final'!$K$47="Alta",'Mapa final'!$O$47="Menor"),CONCATENATE("R",'Mapa final'!$A$47),"")</f>
        <v/>
      </c>
      <c r="S18" s="354"/>
      <c r="T18" s="354" t="str">
        <f ca="1">IF(AND('Mapa final'!$K$59="Alta",'Mapa final'!$O$59="Menor"),CONCATENATE("R",'Mapa final'!$A$59),"")</f>
        <v/>
      </c>
      <c r="U18" s="355"/>
      <c r="V18" s="336" t="e">
        <f>IF(AND('Mapa final'!#REF!="Alta",'Mapa final'!#REF!="Moderado"),CONCATENATE("R",'Mapa final'!#REF!),"")</f>
        <v>#REF!</v>
      </c>
      <c r="W18" s="333"/>
      <c r="X18" s="331" t="str">
        <f ca="1">IF(AND('Mapa final'!$K$47="Alta",'Mapa final'!$O$47="Moderado"),CONCATENATE("R",'Mapa final'!$A$47),"")</f>
        <v/>
      </c>
      <c r="Y18" s="331"/>
      <c r="Z18" s="331" t="str">
        <f ca="1">IF(AND('Mapa final'!$K$59="Alta",'Mapa final'!$O$59="Moderado"),CONCATENATE("R",'Mapa final'!$A$59),"")</f>
        <v/>
      </c>
      <c r="AA18" s="332"/>
      <c r="AB18" s="336" t="e">
        <f>IF(AND('Mapa final'!#REF!="Alta",'Mapa final'!#REF!="Mayor"),CONCATENATE("R",'Mapa final'!#REF!),"")</f>
        <v>#REF!</v>
      </c>
      <c r="AC18" s="333"/>
      <c r="AD18" s="331" t="str">
        <f ca="1">IF(AND('Mapa final'!$K$47="Alta",'Mapa final'!$O$47="Mayor"),CONCATENATE("R",'Mapa final'!$A$47),"")</f>
        <v/>
      </c>
      <c r="AE18" s="331"/>
      <c r="AF18" s="331" t="str">
        <f ca="1">IF(AND('Mapa final'!$K$59="Alta",'Mapa final'!$O$59="Mayor"),CONCATENATE("R",'Mapa final'!$A$59),"")</f>
        <v/>
      </c>
      <c r="AG18" s="332"/>
      <c r="AH18" s="344" t="e">
        <f>IF(AND('Mapa final'!#REF!="Alta",'Mapa final'!#REF!="Catastrófico"),CONCATENATE("R",'Mapa final'!#REF!),"")</f>
        <v>#REF!</v>
      </c>
      <c r="AI18" s="345"/>
      <c r="AJ18" s="345" t="str">
        <f ca="1">IF(AND('Mapa final'!$K$47="Alta",'Mapa final'!$O$47="Catastrófico"),CONCATENATE("R",'Mapa final'!$A$47),"")</f>
        <v/>
      </c>
      <c r="AK18" s="345"/>
      <c r="AL18" s="345" t="str">
        <f ca="1">IF(AND('Mapa final'!$K$59="Alta",'Mapa final'!$O$59="Catastrófico"),CONCATENATE("R",'Mapa final'!$A$59),"")</f>
        <v/>
      </c>
      <c r="AM18" s="346"/>
      <c r="AN18" s="83"/>
      <c r="AO18" s="298"/>
      <c r="AP18" s="299"/>
      <c r="AQ18" s="299"/>
      <c r="AR18" s="299"/>
      <c r="AS18" s="299"/>
      <c r="AT18" s="30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84"/>
      <c r="C19" s="284"/>
      <c r="D19" s="285"/>
      <c r="E19" s="325"/>
      <c r="F19" s="326"/>
      <c r="G19" s="326"/>
      <c r="H19" s="326"/>
      <c r="I19" s="339"/>
      <c r="J19" s="353"/>
      <c r="K19" s="354"/>
      <c r="L19" s="354"/>
      <c r="M19" s="354"/>
      <c r="N19" s="354"/>
      <c r="O19" s="355"/>
      <c r="P19" s="353"/>
      <c r="Q19" s="354"/>
      <c r="R19" s="354"/>
      <c r="S19" s="354"/>
      <c r="T19" s="354"/>
      <c r="U19" s="355"/>
      <c r="V19" s="336"/>
      <c r="W19" s="333"/>
      <c r="X19" s="331"/>
      <c r="Y19" s="331"/>
      <c r="Z19" s="331"/>
      <c r="AA19" s="332"/>
      <c r="AB19" s="336"/>
      <c r="AC19" s="333"/>
      <c r="AD19" s="331"/>
      <c r="AE19" s="331"/>
      <c r="AF19" s="331"/>
      <c r="AG19" s="332"/>
      <c r="AH19" s="344"/>
      <c r="AI19" s="345"/>
      <c r="AJ19" s="345"/>
      <c r="AK19" s="345"/>
      <c r="AL19" s="345"/>
      <c r="AM19" s="346"/>
      <c r="AN19" s="83"/>
      <c r="AO19" s="298"/>
      <c r="AP19" s="299"/>
      <c r="AQ19" s="299"/>
      <c r="AR19" s="299"/>
      <c r="AS19" s="299"/>
      <c r="AT19" s="30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84"/>
      <c r="C20" s="284"/>
      <c r="D20" s="285"/>
      <c r="E20" s="325"/>
      <c r="F20" s="326"/>
      <c r="G20" s="326"/>
      <c r="H20" s="326"/>
      <c r="I20" s="339"/>
      <c r="J20" s="353" t="str">
        <f ca="1">IF(AND('Mapa final'!$K$71="Alta",'Mapa final'!$O$71="Leve"),CONCATENATE("R",'Mapa final'!$A$71),"")</f>
        <v/>
      </c>
      <c r="K20" s="354"/>
      <c r="L20" s="354" t="str">
        <f>IF(AND('Mapa final'!$K$77="Alta",'Mapa final'!$O$77="Leve"),CONCATENATE("R",'Mapa final'!$A$77),"")</f>
        <v/>
      </c>
      <c r="M20" s="354"/>
      <c r="N20" s="354" t="str">
        <f>IF(AND('Mapa final'!$K$83="Alta",'Mapa final'!$O$83="Leve"),CONCATENATE("R",'Mapa final'!$A$83),"")</f>
        <v/>
      </c>
      <c r="O20" s="355"/>
      <c r="P20" s="353" t="str">
        <f ca="1">IF(AND('Mapa final'!$K$71="Alta",'Mapa final'!$O$71="Menor"),CONCATENATE("R",'Mapa final'!$A$71),"")</f>
        <v/>
      </c>
      <c r="Q20" s="354"/>
      <c r="R20" s="354" t="str">
        <f>IF(AND('Mapa final'!$K$77="Alta",'Mapa final'!$O$77="Menor"),CONCATENATE("R",'Mapa final'!$A$77),"")</f>
        <v/>
      </c>
      <c r="S20" s="354"/>
      <c r="T20" s="354" t="str">
        <f>IF(AND('Mapa final'!$K$83="Alta",'Mapa final'!$O$83="Menor"),CONCATENATE("R",'Mapa final'!$A$83),"")</f>
        <v/>
      </c>
      <c r="U20" s="355"/>
      <c r="V20" s="336" t="str">
        <f ca="1">IF(AND('Mapa final'!$K$71="Alta",'Mapa final'!$O$71="Moderado"),CONCATENATE("R",'Mapa final'!$A$71),"")</f>
        <v/>
      </c>
      <c r="W20" s="333"/>
      <c r="X20" s="331" t="str">
        <f>IF(AND('Mapa final'!$K$77="Alta",'Mapa final'!$O$77="Moderado"),CONCATENATE("R",'Mapa final'!$A$77),"")</f>
        <v/>
      </c>
      <c r="Y20" s="331"/>
      <c r="Z20" s="331" t="str">
        <f>IF(AND('Mapa final'!$K$83="Alta",'Mapa final'!$O$83="Moderado"),CONCATENATE("R",'Mapa final'!$A$83),"")</f>
        <v/>
      </c>
      <c r="AA20" s="332"/>
      <c r="AB20" s="336" t="str">
        <f ca="1">IF(AND('Mapa final'!$K$71="Alta",'Mapa final'!$O$71="Mayor"),CONCATENATE("R",'Mapa final'!$A$71),"")</f>
        <v/>
      </c>
      <c r="AC20" s="333"/>
      <c r="AD20" s="331" t="str">
        <f>IF(AND('Mapa final'!$K$77="Alta",'Mapa final'!$O$77="Mayor"),CONCATENATE("R",'Mapa final'!$A$77),"")</f>
        <v/>
      </c>
      <c r="AE20" s="331"/>
      <c r="AF20" s="331" t="str">
        <f>IF(AND('Mapa final'!$K$83="Alta",'Mapa final'!$O$83="Mayor"),CONCATENATE("R",'Mapa final'!$A$83),"")</f>
        <v/>
      </c>
      <c r="AG20" s="332"/>
      <c r="AH20" s="344" t="str">
        <f ca="1">IF(AND('Mapa final'!$K$71="Alta",'Mapa final'!$O$71="Catastrófico"),CONCATENATE("R",'Mapa final'!$A$71),"")</f>
        <v/>
      </c>
      <c r="AI20" s="345"/>
      <c r="AJ20" s="345" t="str">
        <f>IF(AND('Mapa final'!$K$77="Alta",'Mapa final'!$O$77="Catastrófico"),CONCATENATE("R",'Mapa final'!$A$77),"")</f>
        <v/>
      </c>
      <c r="AK20" s="345"/>
      <c r="AL20" s="345" t="str">
        <f>IF(AND('Mapa final'!$K$83="Alta",'Mapa final'!$O$83="Catastrófico"),CONCATENATE("R",'Mapa final'!$A$83),"")</f>
        <v/>
      </c>
      <c r="AM20" s="346"/>
      <c r="AN20" s="83"/>
      <c r="AO20" s="298"/>
      <c r="AP20" s="299"/>
      <c r="AQ20" s="299"/>
      <c r="AR20" s="299"/>
      <c r="AS20" s="299"/>
      <c r="AT20" s="30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84"/>
      <c r="C21" s="284"/>
      <c r="D21" s="285"/>
      <c r="E21" s="328"/>
      <c r="F21" s="329"/>
      <c r="G21" s="329"/>
      <c r="H21" s="329"/>
      <c r="I21" s="329"/>
      <c r="J21" s="356"/>
      <c r="K21" s="357"/>
      <c r="L21" s="357"/>
      <c r="M21" s="357"/>
      <c r="N21" s="357"/>
      <c r="O21" s="358"/>
      <c r="P21" s="356"/>
      <c r="Q21" s="357"/>
      <c r="R21" s="357"/>
      <c r="S21" s="357"/>
      <c r="T21" s="357"/>
      <c r="U21" s="358"/>
      <c r="V21" s="341"/>
      <c r="W21" s="342"/>
      <c r="X21" s="342"/>
      <c r="Y21" s="342"/>
      <c r="Z21" s="342"/>
      <c r="AA21" s="343"/>
      <c r="AB21" s="341"/>
      <c r="AC21" s="342"/>
      <c r="AD21" s="342"/>
      <c r="AE21" s="342"/>
      <c r="AF21" s="342"/>
      <c r="AG21" s="343"/>
      <c r="AH21" s="347"/>
      <c r="AI21" s="348"/>
      <c r="AJ21" s="348"/>
      <c r="AK21" s="348"/>
      <c r="AL21" s="348"/>
      <c r="AM21" s="349"/>
      <c r="AN21" s="83"/>
      <c r="AO21" s="301"/>
      <c r="AP21" s="302"/>
      <c r="AQ21" s="302"/>
      <c r="AR21" s="302"/>
      <c r="AS21" s="302"/>
      <c r="AT21" s="30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84"/>
      <c r="C22" s="284"/>
      <c r="D22" s="285"/>
      <c r="E22" s="322" t="s">
        <v>109</v>
      </c>
      <c r="F22" s="323"/>
      <c r="G22" s="323"/>
      <c r="H22" s="323"/>
      <c r="I22" s="324"/>
      <c r="J22" s="359" t="str">
        <f ca="1">IF(AND('Mapa final'!$K$11="Media",'Mapa final'!$O$11="Leve"),CONCATENATE("R",'Mapa final'!$A$11),"")</f>
        <v/>
      </c>
      <c r="K22" s="360"/>
      <c r="L22" s="360" t="str">
        <f ca="1">IF(AND('Mapa final'!$K$17="Media",'Mapa final'!$O$17="Leve"),CONCATENATE("R",'Mapa final'!$A$17),"")</f>
        <v/>
      </c>
      <c r="M22" s="360"/>
      <c r="N22" s="360" t="str">
        <f ca="1">IF(AND('Mapa final'!$K$23="Media",'Mapa final'!$O$23="Leve"),CONCATENATE("R",'Mapa final'!$A$23),"")</f>
        <v/>
      </c>
      <c r="O22" s="361"/>
      <c r="P22" s="359" t="str">
        <f ca="1">IF(AND('Mapa final'!$K$11="Media",'Mapa final'!$O$11="Menor"),CONCATENATE("R",'Mapa final'!$A$11),"")</f>
        <v/>
      </c>
      <c r="Q22" s="360"/>
      <c r="R22" s="360" t="str">
        <f ca="1">IF(AND('Mapa final'!$K$17="Media",'Mapa final'!$O$17="Menor"),CONCATENATE("R",'Mapa final'!$A$17),"")</f>
        <v/>
      </c>
      <c r="S22" s="360"/>
      <c r="T22" s="360" t="str">
        <f ca="1">IF(AND('Mapa final'!$K$23="Media",'Mapa final'!$O$23="Menor"),CONCATENATE("R",'Mapa final'!$A$23),"")</f>
        <v/>
      </c>
      <c r="U22" s="361"/>
      <c r="V22" s="359" t="str">
        <f ca="1">IF(AND('Mapa final'!$K$11="Media",'Mapa final'!$O$11="Moderado"),CONCATENATE("R",'Mapa final'!$A$11),"")</f>
        <v/>
      </c>
      <c r="W22" s="360"/>
      <c r="X22" s="360" t="str">
        <f ca="1">IF(AND('Mapa final'!$K$17="Media",'Mapa final'!$O$17="Moderado"),CONCATENATE("R",'Mapa final'!$A$17),"")</f>
        <v/>
      </c>
      <c r="Y22" s="360"/>
      <c r="Z22" s="360" t="str">
        <f ca="1">IF(AND('Mapa final'!$K$23="Media",'Mapa final'!$O$23="Moderado"),CONCATENATE("R",'Mapa final'!$A$23),"")</f>
        <v/>
      </c>
      <c r="AA22" s="361"/>
      <c r="AB22" s="334" t="str">
        <f ca="1">IF(AND('Mapa final'!$K$11="Media",'Mapa final'!$O$11="Mayor"),CONCATENATE("R",'Mapa final'!$A$11),"")</f>
        <v/>
      </c>
      <c r="AC22" s="335"/>
      <c r="AD22" s="335" t="str">
        <f ca="1">IF(AND('Mapa final'!$K$17="Media",'Mapa final'!$O$17="Mayor"),CONCATENATE("R",'Mapa final'!$A$17),"")</f>
        <v/>
      </c>
      <c r="AE22" s="335"/>
      <c r="AF22" s="335" t="str">
        <f ca="1">IF(AND('Mapa final'!$K$23="Media",'Mapa final'!$O$23="Mayor"),CONCATENATE("R",'Mapa final'!$A$23),"")</f>
        <v/>
      </c>
      <c r="AG22" s="337"/>
      <c r="AH22" s="350" t="str">
        <f ca="1">IF(AND('Mapa final'!$K$11="Media",'Mapa final'!$O$11="Catastrófico"),CONCATENATE("R",'Mapa final'!$A$11),"")</f>
        <v/>
      </c>
      <c r="AI22" s="351"/>
      <c r="AJ22" s="351" t="str">
        <f ca="1">IF(AND('Mapa final'!$K$17="Media",'Mapa final'!$O$17="Catastrófico"),CONCATENATE("R",'Mapa final'!$A$17),"")</f>
        <v/>
      </c>
      <c r="AK22" s="351"/>
      <c r="AL22" s="351" t="str">
        <f ca="1">IF(AND('Mapa final'!$K$23="Media",'Mapa final'!$O$23="Catastrófico"),CONCATENATE("R",'Mapa final'!$A$23),"")</f>
        <v/>
      </c>
      <c r="AM22" s="352"/>
      <c r="AN22" s="83"/>
      <c r="AO22" s="304" t="s">
        <v>78</v>
      </c>
      <c r="AP22" s="305"/>
      <c r="AQ22" s="305"/>
      <c r="AR22" s="305"/>
      <c r="AS22" s="305"/>
      <c r="AT22" s="30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84"/>
      <c r="C23" s="284"/>
      <c r="D23" s="285"/>
      <c r="E23" s="325"/>
      <c r="F23" s="326"/>
      <c r="G23" s="326"/>
      <c r="H23" s="326"/>
      <c r="I23" s="327"/>
      <c r="J23" s="353"/>
      <c r="K23" s="354"/>
      <c r="L23" s="354"/>
      <c r="M23" s="354"/>
      <c r="N23" s="354"/>
      <c r="O23" s="355"/>
      <c r="P23" s="353"/>
      <c r="Q23" s="354"/>
      <c r="R23" s="354"/>
      <c r="S23" s="354"/>
      <c r="T23" s="354"/>
      <c r="U23" s="355"/>
      <c r="V23" s="353"/>
      <c r="W23" s="354"/>
      <c r="X23" s="354"/>
      <c r="Y23" s="354"/>
      <c r="Z23" s="354"/>
      <c r="AA23" s="355"/>
      <c r="AB23" s="336"/>
      <c r="AC23" s="333"/>
      <c r="AD23" s="333"/>
      <c r="AE23" s="333"/>
      <c r="AF23" s="333"/>
      <c r="AG23" s="332"/>
      <c r="AH23" s="344"/>
      <c r="AI23" s="345"/>
      <c r="AJ23" s="345"/>
      <c r="AK23" s="345"/>
      <c r="AL23" s="345"/>
      <c r="AM23" s="346"/>
      <c r="AN23" s="83"/>
      <c r="AO23" s="307"/>
      <c r="AP23" s="308"/>
      <c r="AQ23" s="308"/>
      <c r="AR23" s="308"/>
      <c r="AS23" s="308"/>
      <c r="AT23" s="30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84"/>
      <c r="C24" s="284"/>
      <c r="D24" s="285"/>
      <c r="E24" s="325"/>
      <c r="F24" s="326"/>
      <c r="G24" s="326"/>
      <c r="H24" s="326"/>
      <c r="I24" s="327"/>
      <c r="J24" s="353" t="str">
        <f ca="1">IF(AND('Mapa final'!$K$29="Media",'Mapa final'!$O$29="Leve"),CONCATENATE("R",'Mapa final'!$A$29),"")</f>
        <v/>
      </c>
      <c r="K24" s="354"/>
      <c r="L24" s="354" t="str">
        <f ca="1">IF(AND('Mapa final'!$K$41="Media",'Mapa final'!$O$41="Leve"),CONCATENATE("R",'Mapa final'!$A$41),"")</f>
        <v/>
      </c>
      <c r="M24" s="354"/>
      <c r="N24" s="354" t="e">
        <f>IF(AND('Mapa final'!#REF!="Media",'Mapa final'!#REF!="Leve"),CONCATENATE("R",'Mapa final'!#REF!),"")</f>
        <v>#REF!</v>
      </c>
      <c r="O24" s="355"/>
      <c r="P24" s="353" t="str">
        <f ca="1">IF(AND('Mapa final'!$K$29="Media",'Mapa final'!$O$29="Menor"),CONCATENATE("R",'Mapa final'!$A$29),"")</f>
        <v/>
      </c>
      <c r="Q24" s="354"/>
      <c r="R24" s="354" t="str">
        <f ca="1">IF(AND('Mapa final'!$K$41="Media",'Mapa final'!$O$41="Menor"),CONCATENATE("R",'Mapa final'!$A$41),"")</f>
        <v/>
      </c>
      <c r="S24" s="354"/>
      <c r="T24" s="354" t="e">
        <f>IF(AND('Mapa final'!#REF!="Media",'Mapa final'!#REF!="Menor"),CONCATENATE("R",'Mapa final'!#REF!),"")</f>
        <v>#REF!</v>
      </c>
      <c r="U24" s="355"/>
      <c r="V24" s="353" t="str">
        <f ca="1">IF(AND('Mapa final'!$K$29="Media",'Mapa final'!$O$29="Moderado"),CONCATENATE("R",'Mapa final'!$A$29),"")</f>
        <v/>
      </c>
      <c r="W24" s="354"/>
      <c r="X24" s="354" t="str">
        <f ca="1">IF(AND('Mapa final'!$K$41="Media",'Mapa final'!$O$41="Moderado"),CONCATENATE("R",'Mapa final'!$A$41),"")</f>
        <v>R6</v>
      </c>
      <c r="Y24" s="354"/>
      <c r="Z24" s="354" t="e">
        <f>IF(AND('Mapa final'!#REF!="Media",'Mapa final'!#REF!="Moderado"),CONCATENATE("R",'Mapa final'!#REF!),"")</f>
        <v>#REF!</v>
      </c>
      <c r="AA24" s="355"/>
      <c r="AB24" s="336" t="str">
        <f ca="1">IF(AND('Mapa final'!$K$29="Media",'Mapa final'!$O$29="Mayor"),CONCATENATE("R",'Mapa final'!$A$29),"")</f>
        <v/>
      </c>
      <c r="AC24" s="333"/>
      <c r="AD24" s="331" t="str">
        <f ca="1">IF(AND('Mapa final'!$K$41="Media",'Mapa final'!$O$41="Mayor"),CONCATENATE("R",'Mapa final'!$A$41),"")</f>
        <v/>
      </c>
      <c r="AE24" s="331"/>
      <c r="AF24" s="331" t="e">
        <f>IF(AND('Mapa final'!#REF!="Media",'Mapa final'!#REF!="Mayor"),CONCATENATE("R",'Mapa final'!#REF!),"")</f>
        <v>#REF!</v>
      </c>
      <c r="AG24" s="332"/>
      <c r="AH24" s="344" t="str">
        <f ca="1">IF(AND('Mapa final'!$K$29="Media",'Mapa final'!$O$29="Catastrófico"),CONCATENATE("R",'Mapa final'!$A$29),"")</f>
        <v/>
      </c>
      <c r="AI24" s="345"/>
      <c r="AJ24" s="345" t="str">
        <f ca="1">IF(AND('Mapa final'!$K$41="Media",'Mapa final'!$O$41="Catastrófico"),CONCATENATE("R",'Mapa final'!$A$41),"")</f>
        <v/>
      </c>
      <c r="AK24" s="345"/>
      <c r="AL24" s="345" t="e">
        <f>IF(AND('Mapa final'!#REF!="Media",'Mapa final'!#REF!="Catastrófico"),CONCATENATE("R",'Mapa final'!#REF!),"")</f>
        <v>#REF!</v>
      </c>
      <c r="AM24" s="346"/>
      <c r="AN24" s="83"/>
      <c r="AO24" s="307"/>
      <c r="AP24" s="308"/>
      <c r="AQ24" s="308"/>
      <c r="AR24" s="308"/>
      <c r="AS24" s="308"/>
      <c r="AT24" s="30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84"/>
      <c r="C25" s="284"/>
      <c r="D25" s="285"/>
      <c r="E25" s="325"/>
      <c r="F25" s="326"/>
      <c r="G25" s="326"/>
      <c r="H25" s="326"/>
      <c r="I25" s="327"/>
      <c r="J25" s="353"/>
      <c r="K25" s="354"/>
      <c r="L25" s="354"/>
      <c r="M25" s="354"/>
      <c r="N25" s="354"/>
      <c r="O25" s="355"/>
      <c r="P25" s="353"/>
      <c r="Q25" s="354"/>
      <c r="R25" s="354"/>
      <c r="S25" s="354"/>
      <c r="T25" s="354"/>
      <c r="U25" s="355"/>
      <c r="V25" s="353"/>
      <c r="W25" s="354"/>
      <c r="X25" s="354"/>
      <c r="Y25" s="354"/>
      <c r="Z25" s="354"/>
      <c r="AA25" s="355"/>
      <c r="AB25" s="336"/>
      <c r="AC25" s="333"/>
      <c r="AD25" s="331"/>
      <c r="AE25" s="331"/>
      <c r="AF25" s="331"/>
      <c r="AG25" s="332"/>
      <c r="AH25" s="344"/>
      <c r="AI25" s="345"/>
      <c r="AJ25" s="345"/>
      <c r="AK25" s="345"/>
      <c r="AL25" s="345"/>
      <c r="AM25" s="346"/>
      <c r="AN25" s="83"/>
      <c r="AO25" s="307"/>
      <c r="AP25" s="308"/>
      <c r="AQ25" s="308"/>
      <c r="AR25" s="308"/>
      <c r="AS25" s="308"/>
      <c r="AT25" s="30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84"/>
      <c r="C26" s="284"/>
      <c r="D26" s="285"/>
      <c r="E26" s="325"/>
      <c r="F26" s="326"/>
      <c r="G26" s="326"/>
      <c r="H26" s="326"/>
      <c r="I26" s="327"/>
      <c r="J26" s="353" t="e">
        <f>IF(AND('Mapa final'!#REF!="Media",'Mapa final'!#REF!="Leve"),CONCATENATE("R",'Mapa final'!#REF!),"")</f>
        <v>#REF!</v>
      </c>
      <c r="K26" s="354"/>
      <c r="L26" s="354" t="str">
        <f ca="1">IF(AND('Mapa final'!$K$47="Media",'Mapa final'!$O$47="Leve"),CONCATENATE("R",'Mapa final'!$A$47),"")</f>
        <v/>
      </c>
      <c r="M26" s="354"/>
      <c r="N26" s="354" t="str">
        <f ca="1">IF(AND('Mapa final'!$K$59="Media",'Mapa final'!$O$59="Leve"),CONCATENATE("R",'Mapa final'!$A$59),"")</f>
        <v/>
      </c>
      <c r="O26" s="355"/>
      <c r="P26" s="353" t="e">
        <f>IF(AND('Mapa final'!#REF!="Media",'Mapa final'!#REF!="Menor"),CONCATENATE("R",'Mapa final'!#REF!),"")</f>
        <v>#REF!</v>
      </c>
      <c r="Q26" s="354"/>
      <c r="R26" s="354" t="str">
        <f ca="1">IF(AND('Mapa final'!$K$47="Media",'Mapa final'!$O$47="Menor"),CONCATENATE("R",'Mapa final'!$A$47),"")</f>
        <v/>
      </c>
      <c r="S26" s="354"/>
      <c r="T26" s="354" t="str">
        <f ca="1">IF(AND('Mapa final'!$K$59="Media",'Mapa final'!$O$59="Menor"),CONCATENATE("R",'Mapa final'!$A$59),"")</f>
        <v>R8</v>
      </c>
      <c r="U26" s="355"/>
      <c r="V26" s="353" t="e">
        <f>IF(AND('Mapa final'!#REF!="Media",'Mapa final'!#REF!="Moderado"),CONCATENATE("R",'Mapa final'!#REF!),"")</f>
        <v>#REF!</v>
      </c>
      <c r="W26" s="354"/>
      <c r="X26" s="354" t="str">
        <f ca="1">IF(AND('Mapa final'!$K$47="Media",'Mapa final'!$O$47="Moderado"),CONCATENATE("R",'Mapa final'!$A$47),"")</f>
        <v/>
      </c>
      <c r="Y26" s="354"/>
      <c r="Z26" s="354" t="str">
        <f ca="1">IF(AND('Mapa final'!$K$59="Media",'Mapa final'!$O$59="Moderado"),CONCATENATE("R",'Mapa final'!$A$59),"")</f>
        <v/>
      </c>
      <c r="AA26" s="355"/>
      <c r="AB26" s="336" t="e">
        <f>IF(AND('Mapa final'!#REF!="Media",'Mapa final'!#REF!="Mayor"),CONCATENATE("R",'Mapa final'!#REF!),"")</f>
        <v>#REF!</v>
      </c>
      <c r="AC26" s="333"/>
      <c r="AD26" s="331" t="str">
        <f ca="1">IF(AND('Mapa final'!$K$47="Media",'Mapa final'!$O$47="Mayor"),CONCATENATE("R",'Mapa final'!$A$47),"")</f>
        <v/>
      </c>
      <c r="AE26" s="331"/>
      <c r="AF26" s="331" t="str">
        <f ca="1">IF(AND('Mapa final'!$K$59="Media",'Mapa final'!$O$59="Mayor"),CONCATENATE("R",'Mapa final'!$A$59),"")</f>
        <v/>
      </c>
      <c r="AG26" s="332"/>
      <c r="AH26" s="344" t="e">
        <f>IF(AND('Mapa final'!#REF!="Media",'Mapa final'!#REF!="Catastrófico"),CONCATENATE("R",'Mapa final'!#REF!),"")</f>
        <v>#REF!</v>
      </c>
      <c r="AI26" s="345"/>
      <c r="AJ26" s="345" t="str">
        <f ca="1">IF(AND('Mapa final'!$K$47="Media",'Mapa final'!$O$47="Catastrófico"),CONCATENATE("R",'Mapa final'!$A$47),"")</f>
        <v/>
      </c>
      <c r="AK26" s="345"/>
      <c r="AL26" s="345" t="str">
        <f ca="1">IF(AND('Mapa final'!$K$59="Media",'Mapa final'!$O$59="Catastrófico"),CONCATENATE("R",'Mapa final'!$A$59),"")</f>
        <v/>
      </c>
      <c r="AM26" s="346"/>
      <c r="AN26" s="83"/>
      <c r="AO26" s="307"/>
      <c r="AP26" s="308"/>
      <c r="AQ26" s="308"/>
      <c r="AR26" s="308"/>
      <c r="AS26" s="308"/>
      <c r="AT26" s="30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84"/>
      <c r="C27" s="284"/>
      <c r="D27" s="285"/>
      <c r="E27" s="325"/>
      <c r="F27" s="326"/>
      <c r="G27" s="326"/>
      <c r="H27" s="326"/>
      <c r="I27" s="327"/>
      <c r="J27" s="353"/>
      <c r="K27" s="354"/>
      <c r="L27" s="354"/>
      <c r="M27" s="354"/>
      <c r="N27" s="354"/>
      <c r="O27" s="355"/>
      <c r="P27" s="353"/>
      <c r="Q27" s="354"/>
      <c r="R27" s="354"/>
      <c r="S27" s="354"/>
      <c r="T27" s="354"/>
      <c r="U27" s="355"/>
      <c r="V27" s="353"/>
      <c r="W27" s="354"/>
      <c r="X27" s="354"/>
      <c r="Y27" s="354"/>
      <c r="Z27" s="354"/>
      <c r="AA27" s="355"/>
      <c r="AB27" s="336"/>
      <c r="AC27" s="333"/>
      <c r="AD27" s="331"/>
      <c r="AE27" s="331"/>
      <c r="AF27" s="331"/>
      <c r="AG27" s="332"/>
      <c r="AH27" s="344"/>
      <c r="AI27" s="345"/>
      <c r="AJ27" s="345"/>
      <c r="AK27" s="345"/>
      <c r="AL27" s="345"/>
      <c r="AM27" s="346"/>
      <c r="AN27" s="83"/>
      <c r="AO27" s="307"/>
      <c r="AP27" s="308"/>
      <c r="AQ27" s="308"/>
      <c r="AR27" s="308"/>
      <c r="AS27" s="308"/>
      <c r="AT27" s="30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84"/>
      <c r="C28" s="284"/>
      <c r="D28" s="285"/>
      <c r="E28" s="325"/>
      <c r="F28" s="326"/>
      <c r="G28" s="326"/>
      <c r="H28" s="326"/>
      <c r="I28" s="327"/>
      <c r="J28" s="353" t="str">
        <f ca="1">IF(AND('Mapa final'!$K$71="Media",'Mapa final'!$O$71="Leve"),CONCATENATE("R",'Mapa final'!$A$71),"")</f>
        <v/>
      </c>
      <c r="K28" s="354"/>
      <c r="L28" s="354" t="str">
        <f>IF(AND('Mapa final'!$K$77="Media",'Mapa final'!$O$77="Leve"),CONCATENATE("R",'Mapa final'!$A$77),"")</f>
        <v/>
      </c>
      <c r="M28" s="354"/>
      <c r="N28" s="354" t="str">
        <f>IF(AND('Mapa final'!$K$83="Media",'Mapa final'!$O$83="Leve"),CONCATENATE("R",'Mapa final'!$A$83),"")</f>
        <v/>
      </c>
      <c r="O28" s="355"/>
      <c r="P28" s="353" t="str">
        <f ca="1">IF(AND('Mapa final'!$K$71="Media",'Mapa final'!$O$71="Menor"),CONCATENATE("R",'Mapa final'!$A$71),"")</f>
        <v>R9</v>
      </c>
      <c r="Q28" s="354"/>
      <c r="R28" s="354" t="str">
        <f>IF(AND('Mapa final'!$K$77="Media",'Mapa final'!$O$77="Menor"),CONCATENATE("R",'Mapa final'!$A$77),"")</f>
        <v/>
      </c>
      <c r="S28" s="354"/>
      <c r="T28" s="354" t="str">
        <f>IF(AND('Mapa final'!$K$83="Media",'Mapa final'!$O$83="Menor"),CONCATENATE("R",'Mapa final'!$A$83),"")</f>
        <v/>
      </c>
      <c r="U28" s="355"/>
      <c r="V28" s="353" t="str">
        <f ca="1">IF(AND('Mapa final'!$K$71="Media",'Mapa final'!$O$71="Moderado"),CONCATENATE("R",'Mapa final'!$A$71),"")</f>
        <v/>
      </c>
      <c r="W28" s="354"/>
      <c r="X28" s="354" t="str">
        <f>IF(AND('Mapa final'!$K$77="Media",'Mapa final'!$O$77="Moderado"),CONCATENATE("R",'Mapa final'!$A$77),"")</f>
        <v/>
      </c>
      <c r="Y28" s="354"/>
      <c r="Z28" s="354" t="str">
        <f>IF(AND('Mapa final'!$K$83="Media",'Mapa final'!$O$83="Moderado"),CONCATENATE("R",'Mapa final'!$A$83),"")</f>
        <v/>
      </c>
      <c r="AA28" s="355"/>
      <c r="AB28" s="336" t="str">
        <f ca="1">IF(AND('Mapa final'!$K$71="Media",'Mapa final'!$O$71="Mayor"),CONCATENATE("R",'Mapa final'!$A$71),"")</f>
        <v/>
      </c>
      <c r="AC28" s="333"/>
      <c r="AD28" s="331" t="str">
        <f>IF(AND('Mapa final'!$K$77="Media",'Mapa final'!$O$77="Mayor"),CONCATENATE("R",'Mapa final'!$A$77),"")</f>
        <v/>
      </c>
      <c r="AE28" s="331"/>
      <c r="AF28" s="331" t="str">
        <f>IF(AND('Mapa final'!$K$83="Media",'Mapa final'!$O$83="Mayor"),CONCATENATE("R",'Mapa final'!$A$83),"")</f>
        <v/>
      </c>
      <c r="AG28" s="332"/>
      <c r="AH28" s="344" t="str">
        <f ca="1">IF(AND('Mapa final'!$K$71="Media",'Mapa final'!$O$71="Catastrófico"),CONCATENATE("R",'Mapa final'!$A$71),"")</f>
        <v/>
      </c>
      <c r="AI28" s="345"/>
      <c r="AJ28" s="345" t="str">
        <f>IF(AND('Mapa final'!$K$77="Media",'Mapa final'!$O$77="Catastrófico"),CONCATENATE("R",'Mapa final'!$A$77),"")</f>
        <v/>
      </c>
      <c r="AK28" s="345"/>
      <c r="AL28" s="345" t="str">
        <f>IF(AND('Mapa final'!$K$83="Media",'Mapa final'!$O$83="Catastrófico"),CONCATENATE("R",'Mapa final'!$A$83),"")</f>
        <v/>
      </c>
      <c r="AM28" s="346"/>
      <c r="AN28" s="83"/>
      <c r="AO28" s="307"/>
      <c r="AP28" s="308"/>
      <c r="AQ28" s="308"/>
      <c r="AR28" s="308"/>
      <c r="AS28" s="308"/>
      <c r="AT28" s="30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84"/>
      <c r="C29" s="284"/>
      <c r="D29" s="285"/>
      <c r="E29" s="328"/>
      <c r="F29" s="329"/>
      <c r="G29" s="329"/>
      <c r="H29" s="329"/>
      <c r="I29" s="330"/>
      <c r="J29" s="353"/>
      <c r="K29" s="354"/>
      <c r="L29" s="354"/>
      <c r="M29" s="354"/>
      <c r="N29" s="354"/>
      <c r="O29" s="355"/>
      <c r="P29" s="356"/>
      <c r="Q29" s="357"/>
      <c r="R29" s="357"/>
      <c r="S29" s="357"/>
      <c r="T29" s="357"/>
      <c r="U29" s="358"/>
      <c r="V29" s="356"/>
      <c r="W29" s="357"/>
      <c r="X29" s="357"/>
      <c r="Y29" s="357"/>
      <c r="Z29" s="357"/>
      <c r="AA29" s="358"/>
      <c r="AB29" s="341"/>
      <c r="AC29" s="342"/>
      <c r="AD29" s="342"/>
      <c r="AE29" s="342"/>
      <c r="AF29" s="342"/>
      <c r="AG29" s="343"/>
      <c r="AH29" s="347"/>
      <c r="AI29" s="348"/>
      <c r="AJ29" s="348"/>
      <c r="AK29" s="348"/>
      <c r="AL29" s="348"/>
      <c r="AM29" s="349"/>
      <c r="AN29" s="83"/>
      <c r="AO29" s="310"/>
      <c r="AP29" s="311"/>
      <c r="AQ29" s="311"/>
      <c r="AR29" s="311"/>
      <c r="AS29" s="311"/>
      <c r="AT29" s="31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84"/>
      <c r="C30" s="284"/>
      <c r="D30" s="285"/>
      <c r="E30" s="322" t="s">
        <v>106</v>
      </c>
      <c r="F30" s="323"/>
      <c r="G30" s="323"/>
      <c r="H30" s="323"/>
      <c r="I30" s="323"/>
      <c r="J30" s="368" t="str">
        <f ca="1">IF(AND('Mapa final'!$K$11="Baja",'Mapa final'!$O$11="Leve"),CONCATENATE("R",'Mapa final'!$A$11),"")</f>
        <v>R1</v>
      </c>
      <c r="K30" s="369"/>
      <c r="L30" s="369" t="str">
        <f ca="1">IF(AND('Mapa final'!$K$17="Baja",'Mapa final'!$O$17="Leve"),CONCATENATE("R",'Mapa final'!$A$17),"")</f>
        <v>R2</v>
      </c>
      <c r="M30" s="369"/>
      <c r="N30" s="369" t="str">
        <f ca="1">IF(AND('Mapa final'!$K$23="Baja",'Mapa final'!$O$23="Leve"),CONCATENATE("R",'Mapa final'!$A$23),"")</f>
        <v/>
      </c>
      <c r="O30" s="370"/>
      <c r="P30" s="360" t="str">
        <f ca="1">IF(AND('Mapa final'!$K$11="Baja",'Mapa final'!$O$11="Menor"),CONCATENATE("R",'Mapa final'!$A$11),"")</f>
        <v/>
      </c>
      <c r="Q30" s="360"/>
      <c r="R30" s="360" t="str">
        <f ca="1">IF(AND('Mapa final'!$K$17="Baja",'Mapa final'!$O$17="Menor"),CONCATENATE("R",'Mapa final'!$A$17),"")</f>
        <v/>
      </c>
      <c r="S30" s="360"/>
      <c r="T30" s="360" t="str">
        <f ca="1">IF(AND('Mapa final'!$K$23="Baja",'Mapa final'!$O$23="Menor"),CONCATENATE("R",'Mapa final'!$A$23),"")</f>
        <v/>
      </c>
      <c r="U30" s="361"/>
      <c r="V30" s="359" t="str">
        <f ca="1">IF(AND('Mapa final'!$K$11="Baja",'Mapa final'!$O$11="Moderado"),CONCATENATE("R",'Mapa final'!$A$11),"")</f>
        <v/>
      </c>
      <c r="W30" s="360"/>
      <c r="X30" s="360" t="str">
        <f ca="1">IF(AND('Mapa final'!$K$17="Baja",'Mapa final'!$O$17="Moderado"),CONCATENATE("R",'Mapa final'!$A$17),"")</f>
        <v/>
      </c>
      <c r="Y30" s="360"/>
      <c r="Z30" s="360" t="str">
        <f ca="1">IF(AND('Mapa final'!$K$23="Baja",'Mapa final'!$O$23="Moderado"),CONCATENATE("R",'Mapa final'!$A$23),"")</f>
        <v>R3</v>
      </c>
      <c r="AA30" s="361"/>
      <c r="AB30" s="334" t="str">
        <f ca="1">IF(AND('Mapa final'!$K$11="Baja",'Mapa final'!$O$11="Mayor"),CONCATENATE("R",'Mapa final'!$A$11),"")</f>
        <v/>
      </c>
      <c r="AC30" s="335"/>
      <c r="AD30" s="335" t="str">
        <f ca="1">IF(AND('Mapa final'!$K$17="Baja",'Mapa final'!$O$17="Mayor"),CONCATENATE("R",'Mapa final'!$A$17),"")</f>
        <v/>
      </c>
      <c r="AE30" s="335"/>
      <c r="AF30" s="335" t="str">
        <f ca="1">IF(AND('Mapa final'!$K$23="Baja",'Mapa final'!$O$23="Mayor"),CONCATENATE("R",'Mapa final'!$A$23),"")</f>
        <v/>
      </c>
      <c r="AG30" s="337"/>
      <c r="AH30" s="350" t="str">
        <f ca="1">IF(AND('Mapa final'!$K$11="Baja",'Mapa final'!$O$11="Catastrófico"),CONCATENATE("R",'Mapa final'!$A$11),"")</f>
        <v/>
      </c>
      <c r="AI30" s="351"/>
      <c r="AJ30" s="351" t="str">
        <f ca="1">IF(AND('Mapa final'!$K$17="Baja",'Mapa final'!$O$17="Catastrófico"),CONCATENATE("R",'Mapa final'!$A$17),"")</f>
        <v/>
      </c>
      <c r="AK30" s="351"/>
      <c r="AL30" s="351" t="str">
        <f ca="1">IF(AND('Mapa final'!$K$23="Baja",'Mapa final'!$O$23="Catastrófico"),CONCATENATE("R",'Mapa final'!$A$23),"")</f>
        <v/>
      </c>
      <c r="AM30" s="352"/>
      <c r="AN30" s="83"/>
      <c r="AO30" s="313" t="s">
        <v>79</v>
      </c>
      <c r="AP30" s="314"/>
      <c r="AQ30" s="314"/>
      <c r="AR30" s="314"/>
      <c r="AS30" s="314"/>
      <c r="AT30" s="31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84"/>
      <c r="C31" s="284"/>
      <c r="D31" s="285"/>
      <c r="E31" s="325"/>
      <c r="F31" s="326"/>
      <c r="G31" s="326"/>
      <c r="H31" s="326"/>
      <c r="I31" s="339"/>
      <c r="J31" s="364"/>
      <c r="K31" s="362"/>
      <c r="L31" s="362"/>
      <c r="M31" s="362"/>
      <c r="N31" s="362"/>
      <c r="O31" s="363"/>
      <c r="P31" s="354"/>
      <c r="Q31" s="354"/>
      <c r="R31" s="354"/>
      <c r="S31" s="354"/>
      <c r="T31" s="354"/>
      <c r="U31" s="355"/>
      <c r="V31" s="353"/>
      <c r="W31" s="354"/>
      <c r="X31" s="354"/>
      <c r="Y31" s="354"/>
      <c r="Z31" s="354"/>
      <c r="AA31" s="355"/>
      <c r="AB31" s="336"/>
      <c r="AC31" s="333"/>
      <c r="AD31" s="333"/>
      <c r="AE31" s="333"/>
      <c r="AF31" s="333"/>
      <c r="AG31" s="332"/>
      <c r="AH31" s="344"/>
      <c r="AI31" s="345"/>
      <c r="AJ31" s="345"/>
      <c r="AK31" s="345"/>
      <c r="AL31" s="345"/>
      <c r="AM31" s="346"/>
      <c r="AN31" s="83"/>
      <c r="AO31" s="316"/>
      <c r="AP31" s="317"/>
      <c r="AQ31" s="317"/>
      <c r="AR31" s="317"/>
      <c r="AS31" s="317"/>
      <c r="AT31" s="31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84"/>
      <c r="C32" s="284"/>
      <c r="D32" s="285"/>
      <c r="E32" s="325"/>
      <c r="F32" s="326"/>
      <c r="G32" s="326"/>
      <c r="H32" s="326"/>
      <c r="I32" s="339"/>
      <c r="J32" s="364" t="str">
        <f ca="1">IF(AND('Mapa final'!$K$29="Baja",'Mapa final'!$O$29="Leve"),CONCATENATE("R",'Mapa final'!$A$29),"")</f>
        <v/>
      </c>
      <c r="K32" s="362"/>
      <c r="L32" s="362" t="str">
        <f ca="1">IF(AND('Mapa final'!$K$41="Baja",'Mapa final'!$O$41="Leve"),CONCATENATE("R",'Mapa final'!$A$41),"")</f>
        <v/>
      </c>
      <c r="M32" s="362"/>
      <c r="N32" s="362" t="e">
        <f>IF(AND('Mapa final'!#REF!="Baja",'Mapa final'!#REF!="Leve"),CONCATENATE("R",'Mapa final'!#REF!),"")</f>
        <v>#REF!</v>
      </c>
      <c r="O32" s="363"/>
      <c r="P32" s="354" t="str">
        <f ca="1">IF(AND('Mapa final'!$K$29="Baja",'Mapa final'!$O$29="Menor"),CONCATENATE("R",'Mapa final'!$A$29),"")</f>
        <v>R4</v>
      </c>
      <c r="Q32" s="354"/>
      <c r="R32" s="354" t="str">
        <f ca="1">IF(AND('Mapa final'!$K$41="Baja",'Mapa final'!$O$41="Menor"),CONCATENATE("R",'Mapa final'!$A$41),"")</f>
        <v/>
      </c>
      <c r="S32" s="354"/>
      <c r="T32" s="354" t="e">
        <f>IF(AND('Mapa final'!#REF!="Baja",'Mapa final'!#REF!="Menor"),CONCATENATE("R",'Mapa final'!#REF!),"")</f>
        <v>#REF!</v>
      </c>
      <c r="U32" s="355"/>
      <c r="V32" s="353" t="str">
        <f ca="1">IF(AND('Mapa final'!$K$29="Baja",'Mapa final'!$O$29="Moderado"),CONCATENATE("R",'Mapa final'!$A$29),"")</f>
        <v/>
      </c>
      <c r="W32" s="354"/>
      <c r="X32" s="354" t="str">
        <f ca="1">IF(AND('Mapa final'!$K$41="Baja",'Mapa final'!$O$41="Moderado"),CONCATENATE("R",'Mapa final'!$A$41),"")</f>
        <v/>
      </c>
      <c r="Y32" s="354"/>
      <c r="Z32" s="354" t="e">
        <f>IF(AND('Mapa final'!#REF!="Baja",'Mapa final'!#REF!="Moderado"),CONCATENATE("R",'Mapa final'!#REF!),"")</f>
        <v>#REF!</v>
      </c>
      <c r="AA32" s="355"/>
      <c r="AB32" s="336" t="str">
        <f ca="1">IF(AND('Mapa final'!$K$29="Baja",'Mapa final'!$O$29="Mayor"),CONCATENATE("R",'Mapa final'!$A$29),"")</f>
        <v/>
      </c>
      <c r="AC32" s="333"/>
      <c r="AD32" s="331" t="str">
        <f ca="1">IF(AND('Mapa final'!$K$41="Baja",'Mapa final'!$O$41="Mayor"),CONCATENATE("R",'Mapa final'!$A$41),"")</f>
        <v/>
      </c>
      <c r="AE32" s="331"/>
      <c r="AF32" s="331" t="e">
        <f>IF(AND('Mapa final'!#REF!="Baja",'Mapa final'!#REF!="Mayor"),CONCATENATE("R",'Mapa final'!#REF!),"")</f>
        <v>#REF!</v>
      </c>
      <c r="AG32" s="332"/>
      <c r="AH32" s="344" t="str">
        <f ca="1">IF(AND('Mapa final'!$K$29="Baja",'Mapa final'!$O$29="Catastrófico"),CONCATENATE("R",'Mapa final'!$A$29),"")</f>
        <v/>
      </c>
      <c r="AI32" s="345"/>
      <c r="AJ32" s="345" t="str">
        <f ca="1">IF(AND('Mapa final'!$K$41="Baja",'Mapa final'!$O$41="Catastrófico"),CONCATENATE("R",'Mapa final'!$A$41),"")</f>
        <v/>
      </c>
      <c r="AK32" s="345"/>
      <c r="AL32" s="345" t="e">
        <f>IF(AND('Mapa final'!#REF!="Baja",'Mapa final'!#REF!="Catastrófico"),CONCATENATE("R",'Mapa final'!#REF!),"")</f>
        <v>#REF!</v>
      </c>
      <c r="AM32" s="346"/>
      <c r="AN32" s="83"/>
      <c r="AO32" s="316"/>
      <c r="AP32" s="317"/>
      <c r="AQ32" s="317"/>
      <c r="AR32" s="317"/>
      <c r="AS32" s="317"/>
      <c r="AT32" s="31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84"/>
      <c r="C33" s="284"/>
      <c r="D33" s="285"/>
      <c r="E33" s="325"/>
      <c r="F33" s="326"/>
      <c r="G33" s="326"/>
      <c r="H33" s="326"/>
      <c r="I33" s="339"/>
      <c r="J33" s="364"/>
      <c r="K33" s="362"/>
      <c r="L33" s="362"/>
      <c r="M33" s="362"/>
      <c r="N33" s="362"/>
      <c r="O33" s="363"/>
      <c r="P33" s="354"/>
      <c r="Q33" s="354"/>
      <c r="R33" s="354"/>
      <c r="S33" s="354"/>
      <c r="T33" s="354"/>
      <c r="U33" s="355"/>
      <c r="V33" s="353"/>
      <c r="W33" s="354"/>
      <c r="X33" s="354"/>
      <c r="Y33" s="354"/>
      <c r="Z33" s="354"/>
      <c r="AA33" s="355"/>
      <c r="AB33" s="336"/>
      <c r="AC33" s="333"/>
      <c r="AD33" s="331"/>
      <c r="AE33" s="331"/>
      <c r="AF33" s="331"/>
      <c r="AG33" s="332"/>
      <c r="AH33" s="344"/>
      <c r="AI33" s="345"/>
      <c r="AJ33" s="345"/>
      <c r="AK33" s="345"/>
      <c r="AL33" s="345"/>
      <c r="AM33" s="346"/>
      <c r="AN33" s="83"/>
      <c r="AO33" s="316"/>
      <c r="AP33" s="317"/>
      <c r="AQ33" s="317"/>
      <c r="AR33" s="317"/>
      <c r="AS33" s="317"/>
      <c r="AT33" s="31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84"/>
      <c r="C34" s="284"/>
      <c r="D34" s="285"/>
      <c r="E34" s="325"/>
      <c r="F34" s="326"/>
      <c r="G34" s="326"/>
      <c r="H34" s="326"/>
      <c r="I34" s="339"/>
      <c r="J34" s="364" t="e">
        <f>IF(AND('Mapa final'!#REF!="Baja",'Mapa final'!#REF!="Leve"),CONCATENATE("R",'Mapa final'!#REF!),"")</f>
        <v>#REF!</v>
      </c>
      <c r="K34" s="362"/>
      <c r="L34" s="362" t="str">
        <f ca="1">IF(AND('Mapa final'!$K$47="Baja",'Mapa final'!$O$47="Leve"),CONCATENATE("R",'Mapa final'!$A$47),"")</f>
        <v/>
      </c>
      <c r="M34" s="362"/>
      <c r="N34" s="362" t="str">
        <f ca="1">IF(AND('Mapa final'!$K$59="Baja",'Mapa final'!$O$59="Leve"),CONCATENATE("R",'Mapa final'!$A$59),"")</f>
        <v/>
      </c>
      <c r="O34" s="363"/>
      <c r="P34" s="354" t="e">
        <f>IF(AND('Mapa final'!#REF!="Baja",'Mapa final'!#REF!="Menor"),CONCATENATE("R",'Mapa final'!#REF!),"")</f>
        <v>#REF!</v>
      </c>
      <c r="Q34" s="354"/>
      <c r="R34" s="354" t="str">
        <f ca="1">IF(AND('Mapa final'!$K$47="Baja",'Mapa final'!$O$47="Menor"),CONCATENATE("R",'Mapa final'!$A$47),"")</f>
        <v/>
      </c>
      <c r="S34" s="354"/>
      <c r="T34" s="354" t="str">
        <f ca="1">IF(AND('Mapa final'!$K$59="Baja",'Mapa final'!$O$59="Menor"),CONCATENATE("R",'Mapa final'!$A$59),"")</f>
        <v/>
      </c>
      <c r="U34" s="355"/>
      <c r="V34" s="353" t="e">
        <f>IF(AND('Mapa final'!#REF!="Baja",'Mapa final'!#REF!="Moderado"),CONCATENATE("R",'Mapa final'!#REF!),"")</f>
        <v>#REF!</v>
      </c>
      <c r="W34" s="354"/>
      <c r="X34" s="354" t="str">
        <f ca="1">IF(AND('Mapa final'!$K$47="Baja",'Mapa final'!$O$47="Moderado"),CONCATENATE("R",'Mapa final'!$A$47),"")</f>
        <v/>
      </c>
      <c r="Y34" s="354"/>
      <c r="Z34" s="354" t="str">
        <f ca="1">IF(AND('Mapa final'!$K$59="Baja",'Mapa final'!$O$59="Moderado"),CONCATENATE("R",'Mapa final'!$A$59),"")</f>
        <v/>
      </c>
      <c r="AA34" s="355"/>
      <c r="AB34" s="336" t="e">
        <f>IF(AND('Mapa final'!#REF!="Baja",'Mapa final'!#REF!="Mayor"),CONCATENATE("R",'Mapa final'!#REF!),"")</f>
        <v>#REF!</v>
      </c>
      <c r="AC34" s="333"/>
      <c r="AD34" s="331" t="str">
        <f ca="1">IF(AND('Mapa final'!$K$47="Baja",'Mapa final'!$O$47="Mayor"),CONCATENATE("R",'Mapa final'!$A$47),"")</f>
        <v/>
      </c>
      <c r="AE34" s="331"/>
      <c r="AF34" s="331" t="str">
        <f ca="1">IF(AND('Mapa final'!$K$59="Baja",'Mapa final'!$O$59="Mayor"),CONCATENATE("R",'Mapa final'!$A$59),"")</f>
        <v/>
      </c>
      <c r="AG34" s="332"/>
      <c r="AH34" s="344" t="e">
        <f>IF(AND('Mapa final'!#REF!="Baja",'Mapa final'!#REF!="Catastrófico"),CONCATENATE("R",'Mapa final'!#REF!),"")</f>
        <v>#REF!</v>
      </c>
      <c r="AI34" s="345"/>
      <c r="AJ34" s="345" t="str">
        <f ca="1">IF(AND('Mapa final'!$K$47="Baja",'Mapa final'!$O$47="Catastrófico"),CONCATENATE("R",'Mapa final'!$A$47),"")</f>
        <v/>
      </c>
      <c r="AK34" s="345"/>
      <c r="AL34" s="345" t="str">
        <f ca="1">IF(AND('Mapa final'!$K$59="Baja",'Mapa final'!$O$59="Catastrófico"),CONCATENATE("R",'Mapa final'!$A$59),"")</f>
        <v/>
      </c>
      <c r="AM34" s="346"/>
      <c r="AN34" s="83"/>
      <c r="AO34" s="316"/>
      <c r="AP34" s="317"/>
      <c r="AQ34" s="317"/>
      <c r="AR34" s="317"/>
      <c r="AS34" s="317"/>
      <c r="AT34" s="31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84"/>
      <c r="C35" s="284"/>
      <c r="D35" s="285"/>
      <c r="E35" s="325"/>
      <c r="F35" s="326"/>
      <c r="G35" s="326"/>
      <c r="H35" s="326"/>
      <c r="I35" s="339"/>
      <c r="J35" s="364"/>
      <c r="K35" s="362"/>
      <c r="L35" s="362"/>
      <c r="M35" s="362"/>
      <c r="N35" s="362"/>
      <c r="O35" s="363"/>
      <c r="P35" s="354"/>
      <c r="Q35" s="354"/>
      <c r="R35" s="354"/>
      <c r="S35" s="354"/>
      <c r="T35" s="354"/>
      <c r="U35" s="355"/>
      <c r="V35" s="353"/>
      <c r="W35" s="354"/>
      <c r="X35" s="354"/>
      <c r="Y35" s="354"/>
      <c r="Z35" s="354"/>
      <c r="AA35" s="355"/>
      <c r="AB35" s="336"/>
      <c r="AC35" s="333"/>
      <c r="AD35" s="331"/>
      <c r="AE35" s="331"/>
      <c r="AF35" s="331"/>
      <c r="AG35" s="332"/>
      <c r="AH35" s="344"/>
      <c r="AI35" s="345"/>
      <c r="AJ35" s="345"/>
      <c r="AK35" s="345"/>
      <c r="AL35" s="345"/>
      <c r="AM35" s="346"/>
      <c r="AN35" s="83"/>
      <c r="AO35" s="316"/>
      <c r="AP35" s="317"/>
      <c r="AQ35" s="317"/>
      <c r="AR35" s="317"/>
      <c r="AS35" s="317"/>
      <c r="AT35" s="31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84"/>
      <c r="C36" s="284"/>
      <c r="D36" s="285"/>
      <c r="E36" s="325"/>
      <c r="F36" s="326"/>
      <c r="G36" s="326"/>
      <c r="H36" s="326"/>
      <c r="I36" s="339"/>
      <c r="J36" s="364" t="str">
        <f ca="1">IF(AND('Mapa final'!$K$71="Baja",'Mapa final'!$O$71="Leve"),CONCATENATE("R",'Mapa final'!$A$71),"")</f>
        <v/>
      </c>
      <c r="K36" s="362"/>
      <c r="L36" s="362" t="str">
        <f>IF(AND('Mapa final'!$K$77="Baja",'Mapa final'!$O$77="Leve"),CONCATENATE("R",'Mapa final'!$A$77),"")</f>
        <v/>
      </c>
      <c r="M36" s="362"/>
      <c r="N36" s="362" t="str">
        <f>IF(AND('Mapa final'!$K$83="Baja",'Mapa final'!$O$83="Leve"),CONCATENATE("R",'Mapa final'!$A$83),"")</f>
        <v/>
      </c>
      <c r="O36" s="363"/>
      <c r="P36" s="354" t="str">
        <f ca="1">IF(AND('Mapa final'!$K$71="Baja",'Mapa final'!$O$71="Menor"),CONCATENATE("R",'Mapa final'!$A$71),"")</f>
        <v/>
      </c>
      <c r="Q36" s="354"/>
      <c r="R36" s="354" t="str">
        <f>IF(AND('Mapa final'!$K$77="Baja",'Mapa final'!$O$77="Menor"),CONCATENATE("R",'Mapa final'!$A$77),"")</f>
        <v/>
      </c>
      <c r="S36" s="354"/>
      <c r="T36" s="354" t="str">
        <f>IF(AND('Mapa final'!$K$83="Baja",'Mapa final'!$O$83="Menor"),CONCATENATE("R",'Mapa final'!$A$83),"")</f>
        <v/>
      </c>
      <c r="U36" s="355"/>
      <c r="V36" s="353" t="str">
        <f ca="1">IF(AND('Mapa final'!$K$71="Baja",'Mapa final'!$O$71="Moderado"),CONCATENATE("R",'Mapa final'!$A$71),"")</f>
        <v/>
      </c>
      <c r="W36" s="354"/>
      <c r="X36" s="354" t="str">
        <f>IF(AND('Mapa final'!$K$77="Baja",'Mapa final'!$O$77="Moderado"),CONCATENATE("R",'Mapa final'!$A$77),"")</f>
        <v/>
      </c>
      <c r="Y36" s="354"/>
      <c r="Z36" s="354" t="str">
        <f>IF(AND('Mapa final'!$K$83="Baja",'Mapa final'!$O$83="Moderado"),CONCATENATE("R",'Mapa final'!$A$83),"")</f>
        <v/>
      </c>
      <c r="AA36" s="355"/>
      <c r="AB36" s="336" t="str">
        <f ca="1">IF(AND('Mapa final'!$K$71="Baja",'Mapa final'!$O$71="Mayor"),CONCATENATE("R",'Mapa final'!$A$71),"")</f>
        <v/>
      </c>
      <c r="AC36" s="333"/>
      <c r="AD36" s="331" t="str">
        <f>IF(AND('Mapa final'!$K$77="Baja",'Mapa final'!$O$77="Mayor"),CONCATENATE("R",'Mapa final'!$A$77),"")</f>
        <v/>
      </c>
      <c r="AE36" s="331"/>
      <c r="AF36" s="331" t="str">
        <f>IF(AND('Mapa final'!$K$83="Baja",'Mapa final'!$O$83="Mayor"),CONCATENATE("R",'Mapa final'!$A$83),"")</f>
        <v/>
      </c>
      <c r="AG36" s="332"/>
      <c r="AH36" s="344" t="str">
        <f ca="1">IF(AND('Mapa final'!$K$71="Baja",'Mapa final'!$O$71="Catastrófico"),CONCATENATE("R",'Mapa final'!$A$71),"")</f>
        <v/>
      </c>
      <c r="AI36" s="345"/>
      <c r="AJ36" s="345" t="str">
        <f>IF(AND('Mapa final'!$K$77="Baja",'Mapa final'!$O$77="Catastrófico"),CONCATENATE("R",'Mapa final'!$A$77),"")</f>
        <v/>
      </c>
      <c r="AK36" s="345"/>
      <c r="AL36" s="345" t="str">
        <f>IF(AND('Mapa final'!$K$83="Baja",'Mapa final'!$O$83="Catastrófico"),CONCATENATE("R",'Mapa final'!$A$83),"")</f>
        <v/>
      </c>
      <c r="AM36" s="346"/>
      <c r="AN36" s="83"/>
      <c r="AO36" s="316"/>
      <c r="AP36" s="317"/>
      <c r="AQ36" s="317"/>
      <c r="AR36" s="317"/>
      <c r="AS36" s="317"/>
      <c r="AT36" s="31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84"/>
      <c r="C37" s="284"/>
      <c r="D37" s="285"/>
      <c r="E37" s="328"/>
      <c r="F37" s="329"/>
      <c r="G37" s="329"/>
      <c r="H37" s="329"/>
      <c r="I37" s="329"/>
      <c r="J37" s="365"/>
      <c r="K37" s="366"/>
      <c r="L37" s="366"/>
      <c r="M37" s="366"/>
      <c r="N37" s="366"/>
      <c r="O37" s="367"/>
      <c r="P37" s="357"/>
      <c r="Q37" s="357"/>
      <c r="R37" s="357"/>
      <c r="S37" s="357"/>
      <c r="T37" s="357"/>
      <c r="U37" s="358"/>
      <c r="V37" s="356"/>
      <c r="W37" s="357"/>
      <c r="X37" s="357"/>
      <c r="Y37" s="357"/>
      <c r="Z37" s="357"/>
      <c r="AA37" s="358"/>
      <c r="AB37" s="341"/>
      <c r="AC37" s="342"/>
      <c r="AD37" s="342"/>
      <c r="AE37" s="342"/>
      <c r="AF37" s="342"/>
      <c r="AG37" s="343"/>
      <c r="AH37" s="347"/>
      <c r="AI37" s="348"/>
      <c r="AJ37" s="348"/>
      <c r="AK37" s="348"/>
      <c r="AL37" s="348"/>
      <c r="AM37" s="349"/>
      <c r="AN37" s="83"/>
      <c r="AO37" s="319"/>
      <c r="AP37" s="320"/>
      <c r="AQ37" s="320"/>
      <c r="AR37" s="320"/>
      <c r="AS37" s="320"/>
      <c r="AT37" s="32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84"/>
      <c r="C38" s="284"/>
      <c r="D38" s="285"/>
      <c r="E38" s="322" t="s">
        <v>105</v>
      </c>
      <c r="F38" s="323"/>
      <c r="G38" s="323"/>
      <c r="H38" s="323"/>
      <c r="I38" s="324"/>
      <c r="J38" s="368" t="str">
        <f ca="1">IF(AND('Mapa final'!$K$11="Muy Baja",'Mapa final'!$O$11="Leve"),CONCATENATE("R",'Mapa final'!$A$11),"")</f>
        <v/>
      </c>
      <c r="K38" s="369"/>
      <c r="L38" s="369" t="str">
        <f ca="1">IF(AND('Mapa final'!$K$17="Muy Baja",'Mapa final'!$O$17="Leve"),CONCATENATE("R",'Mapa final'!$A$17),"")</f>
        <v/>
      </c>
      <c r="M38" s="369"/>
      <c r="N38" s="369" t="str">
        <f ca="1">IF(AND('Mapa final'!$K$23="Muy Baja",'Mapa final'!$O$23="Leve"),CONCATENATE("R",'Mapa final'!$A$23),"")</f>
        <v/>
      </c>
      <c r="O38" s="370"/>
      <c r="P38" s="368" t="str">
        <f ca="1">IF(AND('Mapa final'!$K$11="Muy Baja",'Mapa final'!$O$11="Menor"),CONCATENATE("R",'Mapa final'!$A$11),"")</f>
        <v/>
      </c>
      <c r="Q38" s="369"/>
      <c r="R38" s="369" t="str">
        <f ca="1">IF(AND('Mapa final'!$K$17="Muy Baja",'Mapa final'!$O$17="Menor"),CONCATENATE("R",'Mapa final'!$A$17),"")</f>
        <v/>
      </c>
      <c r="S38" s="369"/>
      <c r="T38" s="369" t="str">
        <f ca="1">IF(AND('Mapa final'!$K$23="Muy Baja",'Mapa final'!$O$23="Menor"),CONCATENATE("R",'Mapa final'!$A$23),"")</f>
        <v/>
      </c>
      <c r="U38" s="370"/>
      <c r="V38" s="359" t="str">
        <f ca="1">IF(AND('Mapa final'!$K$11="Muy Baja",'Mapa final'!$O$11="Moderado"),CONCATENATE("R",'Mapa final'!$A$11),"")</f>
        <v/>
      </c>
      <c r="W38" s="360"/>
      <c r="X38" s="360" t="str">
        <f ca="1">IF(AND('Mapa final'!$K$17="Muy Baja",'Mapa final'!$O$17="Moderado"),CONCATENATE("R",'Mapa final'!$A$17),"")</f>
        <v/>
      </c>
      <c r="Y38" s="360"/>
      <c r="Z38" s="360" t="str">
        <f ca="1">IF(AND('Mapa final'!$K$23="Muy Baja",'Mapa final'!$O$23="Moderado"),CONCATENATE("R",'Mapa final'!$A$23),"")</f>
        <v/>
      </c>
      <c r="AA38" s="361"/>
      <c r="AB38" s="334" t="str">
        <f ca="1">IF(AND('Mapa final'!$K$11="Muy Baja",'Mapa final'!$O$11="Mayor"),CONCATENATE("R",'Mapa final'!$A$11),"")</f>
        <v/>
      </c>
      <c r="AC38" s="335"/>
      <c r="AD38" s="335" t="str">
        <f ca="1">IF(AND('Mapa final'!$K$17="Muy Baja",'Mapa final'!$O$17="Mayor"),CONCATENATE("R",'Mapa final'!$A$17),"")</f>
        <v/>
      </c>
      <c r="AE38" s="335"/>
      <c r="AF38" s="335" t="str">
        <f ca="1">IF(AND('Mapa final'!$K$23="Muy Baja",'Mapa final'!$O$23="Mayor"),CONCATENATE("R",'Mapa final'!$A$23),"")</f>
        <v/>
      </c>
      <c r="AG38" s="337"/>
      <c r="AH38" s="350" t="str">
        <f ca="1">IF(AND('Mapa final'!$K$11="Muy Baja",'Mapa final'!$O$11="Catastrófico"),CONCATENATE("R",'Mapa final'!$A$11),"")</f>
        <v/>
      </c>
      <c r="AI38" s="351"/>
      <c r="AJ38" s="351" t="str">
        <f ca="1">IF(AND('Mapa final'!$K$17="Muy Baja",'Mapa final'!$O$17="Catastrófico"),CONCATENATE("R",'Mapa final'!$A$17),"")</f>
        <v/>
      </c>
      <c r="AK38" s="351"/>
      <c r="AL38" s="351" t="str">
        <f ca="1">IF(AND('Mapa final'!$K$23="Muy Baja",'Mapa final'!$O$23="Catastrófico"),CONCATENATE("R",'Mapa final'!$A$23),"")</f>
        <v/>
      </c>
      <c r="AM38" s="35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84"/>
      <c r="C39" s="284"/>
      <c r="D39" s="285"/>
      <c r="E39" s="325"/>
      <c r="F39" s="326"/>
      <c r="G39" s="326"/>
      <c r="H39" s="326"/>
      <c r="I39" s="327"/>
      <c r="J39" s="364"/>
      <c r="K39" s="362"/>
      <c r="L39" s="362"/>
      <c r="M39" s="362"/>
      <c r="N39" s="362"/>
      <c r="O39" s="363"/>
      <c r="P39" s="364"/>
      <c r="Q39" s="362"/>
      <c r="R39" s="362"/>
      <c r="S39" s="362"/>
      <c r="T39" s="362"/>
      <c r="U39" s="363"/>
      <c r="V39" s="353"/>
      <c r="W39" s="354"/>
      <c r="X39" s="354"/>
      <c r="Y39" s="354"/>
      <c r="Z39" s="354"/>
      <c r="AA39" s="355"/>
      <c r="AB39" s="336"/>
      <c r="AC39" s="333"/>
      <c r="AD39" s="333"/>
      <c r="AE39" s="333"/>
      <c r="AF39" s="333"/>
      <c r="AG39" s="332"/>
      <c r="AH39" s="344"/>
      <c r="AI39" s="345"/>
      <c r="AJ39" s="345"/>
      <c r="AK39" s="345"/>
      <c r="AL39" s="345"/>
      <c r="AM39" s="34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84"/>
      <c r="C40" s="284"/>
      <c r="D40" s="285"/>
      <c r="E40" s="325"/>
      <c r="F40" s="326"/>
      <c r="G40" s="326"/>
      <c r="H40" s="326"/>
      <c r="I40" s="327"/>
      <c r="J40" s="364" t="str">
        <f ca="1">IF(AND('Mapa final'!$K$29="Muy Baja",'Mapa final'!$O$29="Leve"),CONCATENATE("R",'Mapa final'!$A$29),"")</f>
        <v/>
      </c>
      <c r="K40" s="362"/>
      <c r="L40" s="362" t="str">
        <f ca="1">IF(AND('Mapa final'!$K$41="Muy Baja",'Mapa final'!$O$41="Leve"),CONCATENATE("R",'Mapa final'!$A$41),"")</f>
        <v/>
      </c>
      <c r="M40" s="362"/>
      <c r="N40" s="362" t="e">
        <f>IF(AND('Mapa final'!#REF!="Muy Baja",'Mapa final'!#REF!="Leve"),CONCATENATE("R",'Mapa final'!#REF!),"")</f>
        <v>#REF!</v>
      </c>
      <c r="O40" s="363"/>
      <c r="P40" s="364" t="str">
        <f ca="1">IF(AND('Mapa final'!$K$29="Muy Baja",'Mapa final'!$O$29="Menor"),CONCATENATE("R",'Mapa final'!$A$29),"")</f>
        <v/>
      </c>
      <c r="Q40" s="362"/>
      <c r="R40" s="362" t="str">
        <f ca="1">IF(AND('Mapa final'!$K$41="Muy Baja",'Mapa final'!$O$41="Menor"),CONCATENATE("R",'Mapa final'!$A$41),"")</f>
        <v/>
      </c>
      <c r="S40" s="362"/>
      <c r="T40" s="362" t="e">
        <f>IF(AND('Mapa final'!#REF!="Muy Baja",'Mapa final'!#REF!="Menor"),CONCATENATE("R",'Mapa final'!#REF!),"")</f>
        <v>#REF!</v>
      </c>
      <c r="U40" s="363"/>
      <c r="V40" s="353" t="str">
        <f ca="1">IF(AND('Mapa final'!$K$29="Muy Baja",'Mapa final'!$O$29="Moderado"),CONCATENATE("R",'Mapa final'!$A$29),"")</f>
        <v/>
      </c>
      <c r="W40" s="354"/>
      <c r="X40" s="354" t="str">
        <f ca="1">IF(AND('Mapa final'!$K$41="Muy Baja",'Mapa final'!$O$41="Moderado"),CONCATENATE("R",'Mapa final'!$A$41),"")</f>
        <v/>
      </c>
      <c r="Y40" s="354"/>
      <c r="Z40" s="354" t="e">
        <f>IF(AND('Mapa final'!#REF!="Muy Baja",'Mapa final'!#REF!="Moderado"),CONCATENATE("R",'Mapa final'!#REF!),"")</f>
        <v>#REF!</v>
      </c>
      <c r="AA40" s="355"/>
      <c r="AB40" s="336" t="str">
        <f ca="1">IF(AND('Mapa final'!$K$29="Muy Baja",'Mapa final'!$O$29="Mayor"),CONCATENATE("R",'Mapa final'!$A$29),"")</f>
        <v/>
      </c>
      <c r="AC40" s="333"/>
      <c r="AD40" s="331" t="str">
        <f ca="1">IF(AND('Mapa final'!$K$41="Muy Baja",'Mapa final'!$O$41="Mayor"),CONCATENATE("R",'Mapa final'!$A$41),"")</f>
        <v/>
      </c>
      <c r="AE40" s="331"/>
      <c r="AF40" s="331" t="e">
        <f>IF(AND('Mapa final'!#REF!="Muy Baja",'Mapa final'!#REF!="Mayor"),CONCATENATE("R",'Mapa final'!#REF!),"")</f>
        <v>#REF!</v>
      </c>
      <c r="AG40" s="332"/>
      <c r="AH40" s="344" t="str">
        <f ca="1">IF(AND('Mapa final'!$K$29="Muy Baja",'Mapa final'!$O$29="Catastrófico"),CONCATENATE("R",'Mapa final'!$A$29),"")</f>
        <v/>
      </c>
      <c r="AI40" s="345"/>
      <c r="AJ40" s="345" t="str">
        <f ca="1">IF(AND('Mapa final'!$K$41="Muy Baja",'Mapa final'!$O$41="Catastrófico"),CONCATENATE("R",'Mapa final'!$A$41),"")</f>
        <v/>
      </c>
      <c r="AK40" s="345"/>
      <c r="AL40" s="345" t="e">
        <f>IF(AND('Mapa final'!#REF!="Muy Baja",'Mapa final'!#REF!="Catastrófico"),CONCATENATE("R",'Mapa final'!#REF!),"")</f>
        <v>#REF!</v>
      </c>
      <c r="AM40" s="34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84"/>
      <c r="C41" s="284"/>
      <c r="D41" s="285"/>
      <c r="E41" s="325"/>
      <c r="F41" s="326"/>
      <c r="G41" s="326"/>
      <c r="H41" s="326"/>
      <c r="I41" s="327"/>
      <c r="J41" s="364"/>
      <c r="K41" s="362"/>
      <c r="L41" s="362"/>
      <c r="M41" s="362"/>
      <c r="N41" s="362"/>
      <c r="O41" s="363"/>
      <c r="P41" s="364"/>
      <c r="Q41" s="362"/>
      <c r="R41" s="362"/>
      <c r="S41" s="362"/>
      <c r="T41" s="362"/>
      <c r="U41" s="363"/>
      <c r="V41" s="353"/>
      <c r="W41" s="354"/>
      <c r="X41" s="354"/>
      <c r="Y41" s="354"/>
      <c r="Z41" s="354"/>
      <c r="AA41" s="355"/>
      <c r="AB41" s="336"/>
      <c r="AC41" s="333"/>
      <c r="AD41" s="331"/>
      <c r="AE41" s="331"/>
      <c r="AF41" s="331"/>
      <c r="AG41" s="332"/>
      <c r="AH41" s="344"/>
      <c r="AI41" s="345"/>
      <c r="AJ41" s="345"/>
      <c r="AK41" s="345"/>
      <c r="AL41" s="345"/>
      <c r="AM41" s="34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84"/>
      <c r="C42" s="284"/>
      <c r="D42" s="285"/>
      <c r="E42" s="325"/>
      <c r="F42" s="326"/>
      <c r="G42" s="326"/>
      <c r="H42" s="326"/>
      <c r="I42" s="327"/>
      <c r="J42" s="364" t="e">
        <f>IF(AND('Mapa final'!#REF!="Muy Baja",'Mapa final'!#REF!="Leve"),CONCATENATE("R",'Mapa final'!#REF!),"")</f>
        <v>#REF!</v>
      </c>
      <c r="K42" s="362"/>
      <c r="L42" s="362" t="str">
        <f ca="1">IF(AND('Mapa final'!$K$47="Muy Baja",'Mapa final'!$O$47="Leve"),CONCATENATE("R",'Mapa final'!$A$47),"")</f>
        <v/>
      </c>
      <c r="M42" s="362"/>
      <c r="N42" s="362" t="str">
        <f ca="1">IF(AND('Mapa final'!$K$59="Muy Baja",'Mapa final'!$O$59="Leve"),CONCATENATE("R",'Mapa final'!$A$59),"")</f>
        <v/>
      </c>
      <c r="O42" s="363"/>
      <c r="P42" s="364" t="e">
        <f>IF(AND('Mapa final'!#REF!="Muy Baja",'Mapa final'!#REF!="Menor"),CONCATENATE("R",'Mapa final'!#REF!),"")</f>
        <v>#REF!</v>
      </c>
      <c r="Q42" s="362"/>
      <c r="R42" s="362" t="str">
        <f ca="1">IF(AND('Mapa final'!$K$47="Muy Baja",'Mapa final'!$O$47="Menor"),CONCATENATE("R",'Mapa final'!$A$47),"")</f>
        <v/>
      </c>
      <c r="S42" s="362"/>
      <c r="T42" s="362" t="str">
        <f ca="1">IF(AND('Mapa final'!$K$59="Muy Baja",'Mapa final'!$O$59="Menor"),CONCATENATE("R",'Mapa final'!$A$59),"")</f>
        <v/>
      </c>
      <c r="U42" s="363"/>
      <c r="V42" s="353" t="e">
        <f>IF(AND('Mapa final'!#REF!="Muy Baja",'Mapa final'!#REF!="Moderado"),CONCATENATE("R",'Mapa final'!#REF!),"")</f>
        <v>#REF!</v>
      </c>
      <c r="W42" s="354"/>
      <c r="X42" s="354" t="str">
        <f ca="1">IF(AND('Mapa final'!$K$47="Muy Baja",'Mapa final'!$O$47="Moderado"),CONCATENATE("R",'Mapa final'!$A$47),"")</f>
        <v>R7</v>
      </c>
      <c r="Y42" s="354"/>
      <c r="Z42" s="354" t="str">
        <f ca="1">IF(AND('Mapa final'!$K$59="Muy Baja",'Mapa final'!$O$59="Moderado"),CONCATENATE("R",'Mapa final'!$A$59),"")</f>
        <v/>
      </c>
      <c r="AA42" s="355"/>
      <c r="AB42" s="336" t="e">
        <f>IF(AND('Mapa final'!#REF!="Muy Baja",'Mapa final'!#REF!="Mayor"),CONCATENATE("R",'Mapa final'!#REF!),"")</f>
        <v>#REF!</v>
      </c>
      <c r="AC42" s="333"/>
      <c r="AD42" s="331" t="str">
        <f ca="1">IF(AND('Mapa final'!$K$47="Muy Baja",'Mapa final'!$O$47="Mayor"),CONCATENATE("R",'Mapa final'!$A$47),"")</f>
        <v/>
      </c>
      <c r="AE42" s="331"/>
      <c r="AF42" s="331" t="str">
        <f ca="1">IF(AND('Mapa final'!$K$59="Muy Baja",'Mapa final'!$O$59="Mayor"),CONCATENATE("R",'Mapa final'!$A$59),"")</f>
        <v/>
      </c>
      <c r="AG42" s="332"/>
      <c r="AH42" s="344" t="e">
        <f>IF(AND('Mapa final'!#REF!="Muy Baja",'Mapa final'!#REF!="Catastrófico"),CONCATENATE("R",'Mapa final'!#REF!),"")</f>
        <v>#REF!</v>
      </c>
      <c r="AI42" s="345"/>
      <c r="AJ42" s="345" t="str">
        <f ca="1">IF(AND('Mapa final'!$K$47="Muy Baja",'Mapa final'!$O$47="Catastrófico"),CONCATENATE("R",'Mapa final'!$A$47),"")</f>
        <v/>
      </c>
      <c r="AK42" s="345"/>
      <c r="AL42" s="345" t="str">
        <f ca="1">IF(AND('Mapa final'!$K$59="Muy Baja",'Mapa final'!$O$59="Catastrófico"),CONCATENATE("R",'Mapa final'!$A$59),"")</f>
        <v/>
      </c>
      <c r="AM42" s="34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84"/>
      <c r="C43" s="284"/>
      <c r="D43" s="285"/>
      <c r="E43" s="325"/>
      <c r="F43" s="326"/>
      <c r="G43" s="326"/>
      <c r="H43" s="326"/>
      <c r="I43" s="327"/>
      <c r="J43" s="364"/>
      <c r="K43" s="362"/>
      <c r="L43" s="362"/>
      <c r="M43" s="362"/>
      <c r="N43" s="362"/>
      <c r="O43" s="363"/>
      <c r="P43" s="364"/>
      <c r="Q43" s="362"/>
      <c r="R43" s="362"/>
      <c r="S43" s="362"/>
      <c r="T43" s="362"/>
      <c r="U43" s="363"/>
      <c r="V43" s="353"/>
      <c r="W43" s="354"/>
      <c r="X43" s="354"/>
      <c r="Y43" s="354"/>
      <c r="Z43" s="354"/>
      <c r="AA43" s="355"/>
      <c r="AB43" s="336"/>
      <c r="AC43" s="333"/>
      <c r="AD43" s="331"/>
      <c r="AE43" s="331"/>
      <c r="AF43" s="331"/>
      <c r="AG43" s="332"/>
      <c r="AH43" s="344"/>
      <c r="AI43" s="345"/>
      <c r="AJ43" s="345"/>
      <c r="AK43" s="345"/>
      <c r="AL43" s="345"/>
      <c r="AM43" s="34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84"/>
      <c r="C44" s="284"/>
      <c r="D44" s="285"/>
      <c r="E44" s="325"/>
      <c r="F44" s="326"/>
      <c r="G44" s="326"/>
      <c r="H44" s="326"/>
      <c r="I44" s="327"/>
      <c r="J44" s="364" t="str">
        <f ca="1">IF(AND('Mapa final'!$K$71="Muy Baja",'Mapa final'!$O$71="Leve"),CONCATENATE("R",'Mapa final'!$A$71),"")</f>
        <v/>
      </c>
      <c r="K44" s="362"/>
      <c r="L44" s="362" t="str">
        <f>IF(AND('Mapa final'!$K$77="Muy Baja",'Mapa final'!$O$77="Leve"),CONCATENATE("R",'Mapa final'!$A$77),"")</f>
        <v/>
      </c>
      <c r="M44" s="362"/>
      <c r="N44" s="362" t="str">
        <f>IF(AND('Mapa final'!$K$83="Muy Baja",'Mapa final'!$O$83="Leve"),CONCATENATE("R",'Mapa final'!$A$83),"")</f>
        <v/>
      </c>
      <c r="O44" s="363"/>
      <c r="P44" s="364" t="str">
        <f ca="1">IF(AND('Mapa final'!$K$71="Muy Baja",'Mapa final'!$O$71="Menor"),CONCATENATE("R",'Mapa final'!$A$71),"")</f>
        <v/>
      </c>
      <c r="Q44" s="362"/>
      <c r="R44" s="362" t="str">
        <f>IF(AND('Mapa final'!$K$77="Muy Baja",'Mapa final'!$O$77="Menor"),CONCATENATE("R",'Mapa final'!$A$77),"")</f>
        <v/>
      </c>
      <c r="S44" s="362"/>
      <c r="T44" s="362" t="str">
        <f>IF(AND('Mapa final'!$K$83="Muy Baja",'Mapa final'!$O$83="Menor"),CONCATENATE("R",'Mapa final'!$A$83),"")</f>
        <v/>
      </c>
      <c r="U44" s="363"/>
      <c r="V44" s="353" t="str">
        <f ca="1">IF(AND('Mapa final'!$K$71="Muy Baja",'Mapa final'!$O$71="Moderado"),CONCATENATE("R",'Mapa final'!$A$71),"")</f>
        <v/>
      </c>
      <c r="W44" s="354"/>
      <c r="X44" s="354" t="str">
        <f>IF(AND('Mapa final'!$K$77="Muy Baja",'Mapa final'!$O$77="Moderado"),CONCATENATE("R",'Mapa final'!$A$77),"")</f>
        <v/>
      </c>
      <c r="Y44" s="354"/>
      <c r="Z44" s="354" t="str">
        <f>IF(AND('Mapa final'!$K$83="Muy Baja",'Mapa final'!$O$83="Moderado"),CONCATENATE("R",'Mapa final'!$A$83),"")</f>
        <v/>
      </c>
      <c r="AA44" s="355"/>
      <c r="AB44" s="336" t="str">
        <f ca="1">IF(AND('Mapa final'!$K$71="Muy Baja",'Mapa final'!$O$71="Mayor"),CONCATENATE("R",'Mapa final'!$A$71),"")</f>
        <v/>
      </c>
      <c r="AC44" s="333"/>
      <c r="AD44" s="331" t="str">
        <f>IF(AND('Mapa final'!$K$77="Muy Baja",'Mapa final'!$O$77="Mayor"),CONCATENATE("R",'Mapa final'!$A$77),"")</f>
        <v/>
      </c>
      <c r="AE44" s="331"/>
      <c r="AF44" s="331" t="str">
        <f>IF(AND('Mapa final'!$K$83="Muy Baja",'Mapa final'!$O$83="Mayor"),CONCATENATE("R",'Mapa final'!$A$83),"")</f>
        <v/>
      </c>
      <c r="AG44" s="332"/>
      <c r="AH44" s="344" t="str">
        <f ca="1">IF(AND('Mapa final'!$K$71="Muy Baja",'Mapa final'!$O$71="Catastrófico"),CONCATENATE("R",'Mapa final'!$A$71),"")</f>
        <v/>
      </c>
      <c r="AI44" s="345"/>
      <c r="AJ44" s="345" t="str">
        <f>IF(AND('Mapa final'!$K$77="Muy Baja",'Mapa final'!$O$77="Catastrófico"),CONCATENATE("R",'Mapa final'!$A$77),"")</f>
        <v/>
      </c>
      <c r="AK44" s="345"/>
      <c r="AL44" s="345" t="str">
        <f>IF(AND('Mapa final'!$K$83="Muy Baja",'Mapa final'!$O$83="Catastrófico"),CONCATENATE("R",'Mapa final'!$A$83),"")</f>
        <v/>
      </c>
      <c r="AM44" s="34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84"/>
      <c r="C45" s="284"/>
      <c r="D45" s="285"/>
      <c r="E45" s="328"/>
      <c r="F45" s="329"/>
      <c r="G45" s="329"/>
      <c r="H45" s="329"/>
      <c r="I45" s="330"/>
      <c r="J45" s="365"/>
      <c r="K45" s="366"/>
      <c r="L45" s="366"/>
      <c r="M45" s="366"/>
      <c r="N45" s="366"/>
      <c r="O45" s="367"/>
      <c r="P45" s="365"/>
      <c r="Q45" s="366"/>
      <c r="R45" s="366"/>
      <c r="S45" s="366"/>
      <c r="T45" s="366"/>
      <c r="U45" s="367"/>
      <c r="V45" s="356"/>
      <c r="W45" s="357"/>
      <c r="X45" s="357"/>
      <c r="Y45" s="357"/>
      <c r="Z45" s="357"/>
      <c r="AA45" s="358"/>
      <c r="AB45" s="341"/>
      <c r="AC45" s="342"/>
      <c r="AD45" s="342"/>
      <c r="AE45" s="342"/>
      <c r="AF45" s="342"/>
      <c r="AG45" s="343"/>
      <c r="AH45" s="347"/>
      <c r="AI45" s="348"/>
      <c r="AJ45" s="348"/>
      <c r="AK45" s="348"/>
      <c r="AL45" s="348"/>
      <c r="AM45" s="34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22" t="s">
        <v>104</v>
      </c>
      <c r="K46" s="323"/>
      <c r="L46" s="323"/>
      <c r="M46" s="323"/>
      <c r="N46" s="323"/>
      <c r="O46" s="324"/>
      <c r="P46" s="322" t="s">
        <v>103</v>
      </c>
      <c r="Q46" s="323"/>
      <c r="R46" s="323"/>
      <c r="S46" s="323"/>
      <c r="T46" s="323"/>
      <c r="U46" s="324"/>
      <c r="V46" s="322" t="s">
        <v>102</v>
      </c>
      <c r="W46" s="323"/>
      <c r="X46" s="323"/>
      <c r="Y46" s="323"/>
      <c r="Z46" s="323"/>
      <c r="AA46" s="324"/>
      <c r="AB46" s="322" t="s">
        <v>101</v>
      </c>
      <c r="AC46" s="340"/>
      <c r="AD46" s="323"/>
      <c r="AE46" s="323"/>
      <c r="AF46" s="323"/>
      <c r="AG46" s="324"/>
      <c r="AH46" s="322" t="s">
        <v>100</v>
      </c>
      <c r="AI46" s="323"/>
      <c r="AJ46" s="323"/>
      <c r="AK46" s="323"/>
      <c r="AL46" s="323"/>
      <c r="AM46" s="324"/>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25"/>
      <c r="K47" s="326"/>
      <c r="L47" s="326"/>
      <c r="M47" s="326"/>
      <c r="N47" s="326"/>
      <c r="O47" s="327"/>
      <c r="P47" s="325"/>
      <c r="Q47" s="326"/>
      <c r="R47" s="326"/>
      <c r="S47" s="326"/>
      <c r="T47" s="326"/>
      <c r="U47" s="327"/>
      <c r="V47" s="325"/>
      <c r="W47" s="326"/>
      <c r="X47" s="326"/>
      <c r="Y47" s="326"/>
      <c r="Z47" s="326"/>
      <c r="AA47" s="327"/>
      <c r="AB47" s="325"/>
      <c r="AC47" s="326"/>
      <c r="AD47" s="326"/>
      <c r="AE47" s="326"/>
      <c r="AF47" s="326"/>
      <c r="AG47" s="327"/>
      <c r="AH47" s="325"/>
      <c r="AI47" s="326"/>
      <c r="AJ47" s="326"/>
      <c r="AK47" s="326"/>
      <c r="AL47" s="326"/>
      <c r="AM47" s="32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25"/>
      <c r="K48" s="326"/>
      <c r="L48" s="326"/>
      <c r="M48" s="326"/>
      <c r="N48" s="326"/>
      <c r="O48" s="327"/>
      <c r="P48" s="325"/>
      <c r="Q48" s="326"/>
      <c r="R48" s="326"/>
      <c r="S48" s="326"/>
      <c r="T48" s="326"/>
      <c r="U48" s="327"/>
      <c r="V48" s="325"/>
      <c r="W48" s="326"/>
      <c r="X48" s="326"/>
      <c r="Y48" s="326"/>
      <c r="Z48" s="326"/>
      <c r="AA48" s="327"/>
      <c r="AB48" s="325"/>
      <c r="AC48" s="326"/>
      <c r="AD48" s="326"/>
      <c r="AE48" s="326"/>
      <c r="AF48" s="326"/>
      <c r="AG48" s="327"/>
      <c r="AH48" s="325"/>
      <c r="AI48" s="326"/>
      <c r="AJ48" s="326"/>
      <c r="AK48" s="326"/>
      <c r="AL48" s="326"/>
      <c r="AM48" s="32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25"/>
      <c r="K49" s="326"/>
      <c r="L49" s="326"/>
      <c r="M49" s="326"/>
      <c r="N49" s="326"/>
      <c r="O49" s="327"/>
      <c r="P49" s="325"/>
      <c r="Q49" s="326"/>
      <c r="R49" s="326"/>
      <c r="S49" s="326"/>
      <c r="T49" s="326"/>
      <c r="U49" s="327"/>
      <c r="V49" s="325"/>
      <c r="W49" s="326"/>
      <c r="X49" s="326"/>
      <c r="Y49" s="326"/>
      <c r="Z49" s="326"/>
      <c r="AA49" s="327"/>
      <c r="AB49" s="325"/>
      <c r="AC49" s="326"/>
      <c r="AD49" s="326"/>
      <c r="AE49" s="326"/>
      <c r="AF49" s="326"/>
      <c r="AG49" s="327"/>
      <c r="AH49" s="325"/>
      <c r="AI49" s="326"/>
      <c r="AJ49" s="326"/>
      <c r="AK49" s="326"/>
      <c r="AL49" s="326"/>
      <c r="AM49" s="327"/>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25"/>
      <c r="K50" s="326"/>
      <c r="L50" s="326"/>
      <c r="M50" s="326"/>
      <c r="N50" s="326"/>
      <c r="O50" s="327"/>
      <c r="P50" s="325"/>
      <c r="Q50" s="326"/>
      <c r="R50" s="326"/>
      <c r="S50" s="326"/>
      <c r="T50" s="326"/>
      <c r="U50" s="327"/>
      <c r="V50" s="325"/>
      <c r="W50" s="326"/>
      <c r="X50" s="326"/>
      <c r="Y50" s="326"/>
      <c r="Z50" s="326"/>
      <c r="AA50" s="327"/>
      <c r="AB50" s="325"/>
      <c r="AC50" s="326"/>
      <c r="AD50" s="326"/>
      <c r="AE50" s="326"/>
      <c r="AF50" s="326"/>
      <c r="AG50" s="327"/>
      <c r="AH50" s="325"/>
      <c r="AI50" s="326"/>
      <c r="AJ50" s="326"/>
      <c r="AK50" s="326"/>
      <c r="AL50" s="326"/>
      <c r="AM50" s="327"/>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28"/>
      <c r="K51" s="329"/>
      <c r="L51" s="329"/>
      <c r="M51" s="329"/>
      <c r="N51" s="329"/>
      <c r="O51" s="330"/>
      <c r="P51" s="328"/>
      <c r="Q51" s="329"/>
      <c r="R51" s="329"/>
      <c r="S51" s="329"/>
      <c r="T51" s="329"/>
      <c r="U51" s="330"/>
      <c r="V51" s="328"/>
      <c r="W51" s="329"/>
      <c r="X51" s="329"/>
      <c r="Y51" s="329"/>
      <c r="Z51" s="329"/>
      <c r="AA51" s="330"/>
      <c r="AB51" s="328"/>
      <c r="AC51" s="329"/>
      <c r="AD51" s="329"/>
      <c r="AE51" s="329"/>
      <c r="AF51" s="329"/>
      <c r="AG51" s="330"/>
      <c r="AH51" s="328"/>
      <c r="AI51" s="329"/>
      <c r="AJ51" s="329"/>
      <c r="AK51" s="329"/>
      <c r="AL51" s="329"/>
      <c r="AM51" s="330"/>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B2" sqref="B2:I4"/>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98" t="s">
        <v>142</v>
      </c>
      <c r="C2" s="399"/>
      <c r="D2" s="399"/>
      <c r="E2" s="399"/>
      <c r="F2" s="399"/>
      <c r="G2" s="399"/>
      <c r="H2" s="399"/>
      <c r="I2" s="399"/>
      <c r="J2" s="338" t="s">
        <v>2</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99"/>
      <c r="C3" s="399"/>
      <c r="D3" s="399"/>
      <c r="E3" s="399"/>
      <c r="F3" s="399"/>
      <c r="G3" s="399"/>
      <c r="H3" s="399"/>
      <c r="I3" s="399"/>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99"/>
      <c r="C4" s="399"/>
      <c r="D4" s="399"/>
      <c r="E4" s="399"/>
      <c r="F4" s="399"/>
      <c r="G4" s="399"/>
      <c r="H4" s="399"/>
      <c r="I4" s="399"/>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84" t="s">
        <v>3</v>
      </c>
      <c r="C6" s="284"/>
      <c r="D6" s="285"/>
      <c r="E6" s="381" t="s">
        <v>108</v>
      </c>
      <c r="F6" s="382"/>
      <c r="G6" s="382"/>
      <c r="H6" s="382"/>
      <c r="I6" s="400"/>
      <c r="J6" s="45" t="str">
        <f ca="1">IF(AND('Mapa final'!$AB$11="Muy Alta",'Mapa final'!$AD$11="Leve"),CONCATENATE("R1C",'Mapa final'!$R$11),"")</f>
        <v/>
      </c>
      <c r="K6" s="46" t="str">
        <f ca="1">IF(AND('Mapa final'!$AB$12="Muy Alta",'Mapa final'!$AD$12="Leve"),CONCATENATE("R1C",'Mapa final'!$R$12),"")</f>
        <v/>
      </c>
      <c r="L6" s="46" t="str">
        <f>IF(AND('Mapa final'!$AB$13="Muy Alta",'Mapa final'!$AD$13="Leve"),CONCATENATE("R1C",'Mapa final'!$R$13),"")</f>
        <v/>
      </c>
      <c r="M6" s="46" t="str">
        <f>IF(AND('Mapa final'!$AB$14="Muy Alta",'Mapa final'!$AD$14="Leve"),CONCATENATE("R1C",'Mapa final'!$R$14),"")</f>
        <v/>
      </c>
      <c r="N6" s="46" t="str">
        <f>IF(AND('Mapa final'!$AB$15="Muy Alta",'Mapa final'!$AD$15="Leve"),CONCATENATE("R1C",'Mapa final'!$R$15),"")</f>
        <v/>
      </c>
      <c r="O6" s="47" t="str">
        <f>IF(AND('Mapa final'!$AB$16="Muy Alta",'Mapa final'!$AD$16="Leve"),CONCATENATE("R1C",'Mapa final'!$R$16),"")</f>
        <v/>
      </c>
      <c r="P6" s="45" t="str">
        <f ca="1">IF(AND('Mapa final'!$AB$11="Muy Alta",'Mapa final'!$AD$11="Menor"),CONCATENATE("R1C",'Mapa final'!$R$11),"")</f>
        <v/>
      </c>
      <c r="Q6" s="46" t="str">
        <f ca="1">IF(AND('Mapa final'!$AB$12="Muy Alta",'Mapa final'!$AD$12="Menor"),CONCATENATE("R1C",'Mapa final'!$R$12),"")</f>
        <v/>
      </c>
      <c r="R6" s="46" t="str">
        <f>IF(AND('Mapa final'!$AB$13="Muy Alta",'Mapa final'!$AD$13="Menor"),CONCATENATE("R1C",'Mapa final'!$R$13),"")</f>
        <v/>
      </c>
      <c r="S6" s="46" t="str">
        <f>IF(AND('Mapa final'!$AB$14="Muy Alta",'Mapa final'!$AD$14="Menor"),CONCATENATE("R1C",'Mapa final'!$R$14),"")</f>
        <v/>
      </c>
      <c r="T6" s="46" t="str">
        <f>IF(AND('Mapa final'!$AB$15="Muy Alta",'Mapa final'!$AD$15="Menor"),CONCATENATE("R1C",'Mapa final'!$R$15),"")</f>
        <v/>
      </c>
      <c r="U6" s="47" t="str">
        <f>IF(AND('Mapa final'!$AB$16="Muy Alta",'Mapa final'!$AD$16="Menor"),CONCATENATE("R1C",'Mapa final'!$R$16),"")</f>
        <v/>
      </c>
      <c r="V6" s="45" t="str">
        <f ca="1">IF(AND('Mapa final'!$AB$11="Muy Alta",'Mapa final'!$AD$11="Moderado"),CONCATENATE("R1C",'Mapa final'!$R$11),"")</f>
        <v/>
      </c>
      <c r="W6" s="46" t="str">
        <f ca="1">IF(AND('Mapa final'!$AB$12="Muy Alta",'Mapa final'!$AD$12="Moderado"),CONCATENATE("R1C",'Mapa final'!$R$12),"")</f>
        <v/>
      </c>
      <c r="X6" s="46" t="str">
        <f>IF(AND('Mapa final'!$AB$13="Muy Alta",'Mapa final'!$AD$13="Moderado"),CONCATENATE("R1C",'Mapa final'!$R$13),"")</f>
        <v/>
      </c>
      <c r="Y6" s="46" t="str">
        <f>IF(AND('Mapa final'!$AB$14="Muy Alta",'Mapa final'!$AD$14="Moderado"),CONCATENATE("R1C",'Mapa final'!$R$14),"")</f>
        <v/>
      </c>
      <c r="Z6" s="46" t="str">
        <f>IF(AND('Mapa final'!$AB$15="Muy Alta",'Mapa final'!$AD$15="Moderado"),CONCATENATE("R1C",'Mapa final'!$R$15),"")</f>
        <v/>
      </c>
      <c r="AA6" s="47" t="str">
        <f>IF(AND('Mapa final'!$AB$16="Muy Alta",'Mapa final'!$AD$16="Moderado"),CONCATENATE("R1C",'Mapa final'!$R$16),"")</f>
        <v/>
      </c>
      <c r="AB6" s="45" t="str">
        <f ca="1">IF(AND('Mapa final'!$AB$11="Muy Alta",'Mapa final'!$AD$11="Mayor"),CONCATENATE("R1C",'Mapa final'!$R$11),"")</f>
        <v/>
      </c>
      <c r="AC6" s="46" t="str">
        <f ca="1">IF(AND('Mapa final'!$AB$12="Muy Alta",'Mapa final'!$AD$12="Mayor"),CONCATENATE("R1C",'Mapa final'!$R$12),"")</f>
        <v/>
      </c>
      <c r="AD6" s="46" t="str">
        <f>IF(AND('Mapa final'!$AB$13="Muy Alta",'Mapa final'!$AD$13="Mayor"),CONCATENATE("R1C",'Mapa final'!$R$13),"")</f>
        <v/>
      </c>
      <c r="AE6" s="46" t="str">
        <f>IF(AND('Mapa final'!$AB$14="Muy Alta",'Mapa final'!$AD$14="Mayor"),CONCATENATE("R1C",'Mapa final'!$R$14),"")</f>
        <v/>
      </c>
      <c r="AF6" s="46" t="str">
        <f>IF(AND('Mapa final'!$AB$15="Muy Alta",'Mapa final'!$AD$15="Mayor"),CONCATENATE("R1C",'Mapa final'!$R$15),"")</f>
        <v/>
      </c>
      <c r="AG6" s="47" t="str">
        <f>IF(AND('Mapa final'!$AB$16="Muy Alta",'Mapa final'!$AD$16="Mayor"),CONCATENATE("R1C",'Mapa final'!$R$16),"")</f>
        <v/>
      </c>
      <c r="AH6" s="48" t="str">
        <f ca="1">IF(AND('Mapa final'!$AB$11="Muy Alta",'Mapa final'!$AD$11="Catastrófico"),CONCATENATE("R1C",'Mapa final'!$R$11),"")</f>
        <v/>
      </c>
      <c r="AI6" s="49" t="str">
        <f ca="1">IF(AND('Mapa final'!$AB$12="Muy Alta",'Mapa final'!$AD$12="Catastrófico"),CONCATENATE("R1C",'Mapa final'!$R$12),"")</f>
        <v/>
      </c>
      <c r="AJ6" s="49" t="str">
        <f>IF(AND('Mapa final'!$AB$13="Muy Alta",'Mapa final'!$AD$13="Catastrófico"),CONCATENATE("R1C",'Mapa final'!$R$13),"")</f>
        <v/>
      </c>
      <c r="AK6" s="49" t="str">
        <f>IF(AND('Mapa final'!$AB$14="Muy Alta",'Mapa final'!$AD$14="Catastrófico"),CONCATENATE("R1C",'Mapa final'!$R$14),"")</f>
        <v/>
      </c>
      <c r="AL6" s="49" t="str">
        <f>IF(AND('Mapa final'!$AB$15="Muy Alta",'Mapa final'!$AD$15="Catastrófico"),CONCATENATE("R1C",'Mapa final'!$R$15),"")</f>
        <v/>
      </c>
      <c r="AM6" s="50" t="str">
        <f>IF(AND('Mapa final'!$AB$16="Muy Alta",'Mapa final'!$AD$16="Catastrófico"),CONCATENATE("R1C",'Mapa final'!$R$16),"")</f>
        <v/>
      </c>
      <c r="AN6" s="83"/>
      <c r="AO6" s="389" t="s">
        <v>76</v>
      </c>
      <c r="AP6" s="390"/>
      <c r="AQ6" s="390"/>
      <c r="AR6" s="390"/>
      <c r="AS6" s="390"/>
      <c r="AT6" s="39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84"/>
      <c r="C7" s="284"/>
      <c r="D7" s="285"/>
      <c r="E7" s="385"/>
      <c r="F7" s="386"/>
      <c r="G7" s="386"/>
      <c r="H7" s="386"/>
      <c r="I7" s="401"/>
      <c r="J7" s="51" t="str">
        <f ca="1">IF(AND('Mapa final'!$AB$17="Muy Alta",'Mapa final'!$AD$17="Leve"),CONCATENATE("R2C",'Mapa final'!$R$17),"")</f>
        <v/>
      </c>
      <c r="K7" s="52" t="str">
        <f ca="1">IF(AND('Mapa final'!$AB$18="Muy Alta",'Mapa final'!$AD$18="Leve"),CONCATENATE("R2C",'Mapa final'!$R$18),"")</f>
        <v/>
      </c>
      <c r="L7" s="52" t="str">
        <f ca="1">IF(AND('Mapa final'!$AB$19="Muy Alta",'Mapa final'!$AD$19="Leve"),CONCATENATE("R2C",'Mapa final'!$R$19),"")</f>
        <v/>
      </c>
      <c r="M7" s="52" t="str">
        <f>IF(AND('Mapa final'!$AB$20="Muy Alta",'Mapa final'!$AD$20="Leve"),CONCATENATE("R2C",'Mapa final'!$R$20),"")</f>
        <v/>
      </c>
      <c r="N7" s="52" t="str">
        <f>IF(AND('Mapa final'!$AB$21="Muy Alta",'Mapa final'!$AD$21="Leve"),CONCATENATE("R2C",'Mapa final'!$R$21),"")</f>
        <v/>
      </c>
      <c r="O7" s="53" t="str">
        <f>IF(AND('Mapa final'!$AB$22="Muy Alta",'Mapa final'!$AD$22="Leve"),CONCATENATE("R2C",'Mapa final'!$R$22),"")</f>
        <v/>
      </c>
      <c r="P7" s="51" t="str">
        <f ca="1">IF(AND('Mapa final'!$AB$17="Muy Alta",'Mapa final'!$AD$17="Menor"),CONCATENATE("R2C",'Mapa final'!$R$17),"")</f>
        <v/>
      </c>
      <c r="Q7" s="52" t="str">
        <f ca="1">IF(AND('Mapa final'!$AB$18="Muy Alta",'Mapa final'!$AD$18="Menor"),CONCATENATE("R2C",'Mapa final'!$R$18),"")</f>
        <v/>
      </c>
      <c r="R7" s="52" t="str">
        <f ca="1">IF(AND('Mapa final'!$AB$19="Muy Alta",'Mapa final'!$AD$19="Menor"),CONCATENATE("R2C",'Mapa final'!$R$19),"")</f>
        <v/>
      </c>
      <c r="S7" s="52" t="str">
        <f>IF(AND('Mapa final'!$AB$20="Muy Alta",'Mapa final'!$AD$20="Menor"),CONCATENATE("R2C",'Mapa final'!$R$20),"")</f>
        <v/>
      </c>
      <c r="T7" s="52" t="str">
        <f>IF(AND('Mapa final'!$AB$21="Muy Alta",'Mapa final'!$AD$21="Menor"),CONCATENATE("R2C",'Mapa final'!$R$21),"")</f>
        <v/>
      </c>
      <c r="U7" s="53" t="str">
        <f>IF(AND('Mapa final'!$AB$22="Muy Alta",'Mapa final'!$AD$22="Menor"),CONCATENATE("R2C",'Mapa final'!$R$22),"")</f>
        <v/>
      </c>
      <c r="V7" s="51" t="str">
        <f ca="1">IF(AND('Mapa final'!$AB$17="Muy Alta",'Mapa final'!$AD$17="Moderado"),CONCATENATE("R2C",'Mapa final'!$R$17),"")</f>
        <v/>
      </c>
      <c r="W7" s="52" t="str">
        <f ca="1">IF(AND('Mapa final'!$AB$18="Muy Alta",'Mapa final'!$AD$18="Moderado"),CONCATENATE("R2C",'Mapa final'!$R$18),"")</f>
        <v/>
      </c>
      <c r="X7" s="52" t="str">
        <f ca="1">IF(AND('Mapa final'!$AB$19="Muy Alta",'Mapa final'!$AD$19="Moderado"),CONCATENATE("R2C",'Mapa final'!$R$19),"")</f>
        <v/>
      </c>
      <c r="Y7" s="52" t="str">
        <f>IF(AND('Mapa final'!$AB$20="Muy Alta",'Mapa final'!$AD$20="Moderado"),CONCATENATE("R2C",'Mapa final'!$R$20),"")</f>
        <v/>
      </c>
      <c r="Z7" s="52" t="str">
        <f>IF(AND('Mapa final'!$AB$21="Muy Alta",'Mapa final'!$AD$21="Moderado"),CONCATENATE("R2C",'Mapa final'!$R$21),"")</f>
        <v/>
      </c>
      <c r="AA7" s="53" t="str">
        <f>IF(AND('Mapa final'!$AB$22="Muy Alta",'Mapa final'!$AD$22="Moderado"),CONCATENATE("R2C",'Mapa final'!$R$22),"")</f>
        <v/>
      </c>
      <c r="AB7" s="51" t="str">
        <f ca="1">IF(AND('Mapa final'!$AB$17="Muy Alta",'Mapa final'!$AD$17="Mayor"),CONCATENATE("R2C",'Mapa final'!$R$17),"")</f>
        <v/>
      </c>
      <c r="AC7" s="52" t="str">
        <f ca="1">IF(AND('Mapa final'!$AB$18="Muy Alta",'Mapa final'!$AD$18="Mayor"),CONCATENATE("R2C",'Mapa final'!$R$18),"")</f>
        <v/>
      </c>
      <c r="AD7" s="52" t="str">
        <f ca="1">IF(AND('Mapa final'!$AB$19="Muy Alta",'Mapa final'!$AD$19="Mayor"),CONCATENATE("R2C",'Mapa final'!$R$19),"")</f>
        <v/>
      </c>
      <c r="AE7" s="52" t="str">
        <f>IF(AND('Mapa final'!$AB$20="Muy Alta",'Mapa final'!$AD$20="Mayor"),CONCATENATE("R2C",'Mapa final'!$R$20),"")</f>
        <v/>
      </c>
      <c r="AF7" s="52" t="str">
        <f>IF(AND('Mapa final'!$AB$21="Muy Alta",'Mapa final'!$AD$21="Mayor"),CONCATENATE("R2C",'Mapa final'!$R$21),"")</f>
        <v/>
      </c>
      <c r="AG7" s="53" t="str">
        <f>IF(AND('Mapa final'!$AB$22="Muy Alta",'Mapa final'!$AD$22="Mayor"),CONCATENATE("R2C",'Mapa final'!$R$22),"")</f>
        <v/>
      </c>
      <c r="AH7" s="54" t="str">
        <f ca="1">IF(AND('Mapa final'!$AB$17="Muy Alta",'Mapa final'!$AD$17="Catastrófico"),CONCATENATE("R2C",'Mapa final'!$R$17),"")</f>
        <v/>
      </c>
      <c r="AI7" s="55" t="str">
        <f ca="1">IF(AND('Mapa final'!$AB$18="Muy Alta",'Mapa final'!$AD$18="Catastrófico"),CONCATENATE("R2C",'Mapa final'!$R$18),"")</f>
        <v/>
      </c>
      <c r="AJ7" s="55" t="str">
        <f ca="1">IF(AND('Mapa final'!$AB$19="Muy Alta",'Mapa final'!$AD$19="Catastrófico"),CONCATENATE("R2C",'Mapa final'!$R$19),"")</f>
        <v/>
      </c>
      <c r="AK7" s="55" t="str">
        <f>IF(AND('Mapa final'!$AB$20="Muy Alta",'Mapa final'!$AD$20="Catastrófico"),CONCATENATE("R2C",'Mapa final'!$R$20),"")</f>
        <v/>
      </c>
      <c r="AL7" s="55" t="str">
        <f>IF(AND('Mapa final'!$AB$21="Muy Alta",'Mapa final'!$AD$21="Catastrófico"),CONCATENATE("R2C",'Mapa final'!$R$21),"")</f>
        <v/>
      </c>
      <c r="AM7" s="56" t="str">
        <f>IF(AND('Mapa final'!$AB$22="Muy Alta",'Mapa final'!$AD$22="Catastrófico"),CONCATENATE("R2C",'Mapa final'!$R$22),"")</f>
        <v/>
      </c>
      <c r="AN7" s="83"/>
      <c r="AO7" s="392"/>
      <c r="AP7" s="393"/>
      <c r="AQ7" s="393"/>
      <c r="AR7" s="393"/>
      <c r="AS7" s="393"/>
      <c r="AT7" s="39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84"/>
      <c r="C8" s="284"/>
      <c r="D8" s="285"/>
      <c r="E8" s="385"/>
      <c r="F8" s="386"/>
      <c r="G8" s="386"/>
      <c r="H8" s="386"/>
      <c r="I8" s="401"/>
      <c r="J8" s="51" t="str">
        <f ca="1">IF(AND('Mapa final'!$AB$23="Muy Alta",'Mapa final'!$AD$23="Leve"),CONCATENATE("R3C",'Mapa final'!$R$23),"")</f>
        <v/>
      </c>
      <c r="K8" s="52" t="str">
        <f ca="1">IF(AND('Mapa final'!$AB$24="Muy Alta",'Mapa final'!$AD$24="Leve"),CONCATENATE("R3C",'Mapa final'!$R$24),"")</f>
        <v/>
      </c>
      <c r="L8" s="52" t="str">
        <f ca="1">IF(AND('Mapa final'!$AB$25="Muy Alta",'Mapa final'!$AD$25="Leve"),CONCATENATE("R3C",'Mapa final'!$R$25),"")</f>
        <v/>
      </c>
      <c r="M8" s="52" t="str">
        <f ca="1">IF(AND('Mapa final'!$AB$26="Muy Alta",'Mapa final'!$AD$26="Leve"),CONCATENATE("R3C",'Mapa final'!$R$26),"")</f>
        <v/>
      </c>
      <c r="N8" s="52" t="str">
        <f ca="1">IF(AND('Mapa final'!$AB$27="Muy Alta",'Mapa final'!$AD$27="Leve"),CONCATENATE("R3C",'Mapa final'!$R$27),"")</f>
        <v/>
      </c>
      <c r="O8" s="53" t="str">
        <f>IF(AND('Mapa final'!$AB$28="Muy Alta",'Mapa final'!$AD$28="Leve"),CONCATENATE("R3C",'Mapa final'!$R$28),"")</f>
        <v/>
      </c>
      <c r="P8" s="51" t="str">
        <f ca="1">IF(AND('Mapa final'!$AB$23="Muy Alta",'Mapa final'!$AD$23="Menor"),CONCATENATE("R3C",'Mapa final'!$R$23),"")</f>
        <v/>
      </c>
      <c r="Q8" s="52" t="str">
        <f ca="1">IF(AND('Mapa final'!$AB$24="Muy Alta",'Mapa final'!$AD$24="Menor"),CONCATENATE("R3C",'Mapa final'!$R$24),"")</f>
        <v/>
      </c>
      <c r="R8" s="52" t="str">
        <f ca="1">IF(AND('Mapa final'!$AB$25="Muy Alta",'Mapa final'!$AD$25="Menor"),CONCATENATE("R3C",'Mapa final'!$R$25),"")</f>
        <v/>
      </c>
      <c r="S8" s="52" t="str">
        <f ca="1">IF(AND('Mapa final'!$AB$26="Muy Alta",'Mapa final'!$AD$26="Menor"),CONCATENATE("R3C",'Mapa final'!$R$26),"")</f>
        <v/>
      </c>
      <c r="T8" s="52" t="str">
        <f ca="1">IF(AND('Mapa final'!$AB$27="Muy Alta",'Mapa final'!$AD$27="Menor"),CONCATENATE("R3C",'Mapa final'!$R$27),"")</f>
        <v/>
      </c>
      <c r="U8" s="53" t="str">
        <f>IF(AND('Mapa final'!$AB$28="Muy Alta",'Mapa final'!$AD$28="Menor"),CONCATENATE("R3C",'Mapa final'!$R$28),"")</f>
        <v/>
      </c>
      <c r="V8" s="51" t="str">
        <f ca="1">IF(AND('Mapa final'!$AB$23="Muy Alta",'Mapa final'!$AD$23="Moderado"),CONCATENATE("R3C",'Mapa final'!$R$23),"")</f>
        <v/>
      </c>
      <c r="W8" s="52" t="str">
        <f ca="1">IF(AND('Mapa final'!$AB$24="Muy Alta",'Mapa final'!$AD$24="Moderado"),CONCATENATE("R3C",'Mapa final'!$R$24),"")</f>
        <v/>
      </c>
      <c r="X8" s="52" t="str">
        <f ca="1">IF(AND('Mapa final'!$AB$25="Muy Alta",'Mapa final'!$AD$25="Moderado"),CONCATENATE("R3C",'Mapa final'!$R$25),"")</f>
        <v/>
      </c>
      <c r="Y8" s="52" t="str">
        <f ca="1">IF(AND('Mapa final'!$AB$26="Muy Alta",'Mapa final'!$AD$26="Moderado"),CONCATENATE("R3C",'Mapa final'!$R$26),"")</f>
        <v/>
      </c>
      <c r="Z8" s="52" t="str">
        <f ca="1">IF(AND('Mapa final'!$AB$27="Muy Alta",'Mapa final'!$AD$27="Moderado"),CONCATENATE("R3C",'Mapa final'!$R$27),"")</f>
        <v/>
      </c>
      <c r="AA8" s="53" t="str">
        <f>IF(AND('Mapa final'!$AB$28="Muy Alta",'Mapa final'!$AD$28="Moderado"),CONCATENATE("R3C",'Mapa final'!$R$28),"")</f>
        <v/>
      </c>
      <c r="AB8" s="51" t="str">
        <f ca="1">IF(AND('Mapa final'!$AB$23="Muy Alta",'Mapa final'!$AD$23="Mayor"),CONCATENATE("R3C",'Mapa final'!$R$23),"")</f>
        <v/>
      </c>
      <c r="AC8" s="52" t="str">
        <f ca="1">IF(AND('Mapa final'!$AB$24="Muy Alta",'Mapa final'!$AD$24="Mayor"),CONCATENATE("R3C",'Mapa final'!$R$24),"")</f>
        <v/>
      </c>
      <c r="AD8" s="52" t="str">
        <f ca="1">IF(AND('Mapa final'!$AB$25="Muy Alta",'Mapa final'!$AD$25="Mayor"),CONCATENATE("R3C",'Mapa final'!$R$25),"")</f>
        <v/>
      </c>
      <c r="AE8" s="52" t="str">
        <f ca="1">IF(AND('Mapa final'!$AB$26="Muy Alta",'Mapa final'!$AD$26="Mayor"),CONCATENATE("R3C",'Mapa final'!$R$26),"")</f>
        <v/>
      </c>
      <c r="AF8" s="52" t="str">
        <f ca="1">IF(AND('Mapa final'!$AB$27="Muy Alta",'Mapa final'!$AD$27="Mayor"),CONCATENATE("R3C",'Mapa final'!$R$27),"")</f>
        <v/>
      </c>
      <c r="AG8" s="53" t="str">
        <f>IF(AND('Mapa final'!$AB$28="Muy Alta",'Mapa final'!$AD$28="Mayor"),CONCATENATE("R3C",'Mapa final'!$R$28),"")</f>
        <v/>
      </c>
      <c r="AH8" s="54" t="str">
        <f ca="1">IF(AND('Mapa final'!$AB$23="Muy Alta",'Mapa final'!$AD$23="Catastrófico"),CONCATENATE("R3C",'Mapa final'!$R$23),"")</f>
        <v/>
      </c>
      <c r="AI8" s="55" t="str">
        <f ca="1">IF(AND('Mapa final'!$AB$24="Muy Alta",'Mapa final'!$AD$24="Catastrófico"),CONCATENATE("R3C",'Mapa final'!$R$24),"")</f>
        <v/>
      </c>
      <c r="AJ8" s="55" t="str">
        <f ca="1">IF(AND('Mapa final'!$AB$25="Muy Alta",'Mapa final'!$AD$25="Catastrófico"),CONCATENATE("R3C",'Mapa final'!$R$25),"")</f>
        <v/>
      </c>
      <c r="AK8" s="55" t="str">
        <f ca="1">IF(AND('Mapa final'!$AB$26="Muy Alta",'Mapa final'!$AD$26="Catastrófico"),CONCATENATE("R3C",'Mapa final'!$R$26),"")</f>
        <v/>
      </c>
      <c r="AL8" s="55" t="str">
        <f ca="1">IF(AND('Mapa final'!$AB$27="Muy Alta",'Mapa final'!$AD$27="Catastrófico"),CONCATENATE("R3C",'Mapa final'!$R$27),"")</f>
        <v/>
      </c>
      <c r="AM8" s="56" t="str">
        <f>IF(AND('Mapa final'!$AB$28="Muy Alta",'Mapa final'!$AD$28="Catastrófico"),CONCATENATE("R3C",'Mapa final'!$R$28),"")</f>
        <v/>
      </c>
      <c r="AN8" s="83"/>
      <c r="AO8" s="392"/>
      <c r="AP8" s="393"/>
      <c r="AQ8" s="393"/>
      <c r="AR8" s="393"/>
      <c r="AS8" s="393"/>
      <c r="AT8" s="39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84"/>
      <c r="C9" s="284"/>
      <c r="D9" s="285"/>
      <c r="E9" s="385"/>
      <c r="F9" s="386"/>
      <c r="G9" s="386"/>
      <c r="H9" s="386"/>
      <c r="I9" s="401"/>
      <c r="J9" s="51" t="str">
        <f ca="1">IF(AND('Mapa final'!$AB$29="Muy Alta",'Mapa final'!$AD$29="Leve"),CONCATENATE("R4C",'Mapa final'!$R$29),"")</f>
        <v/>
      </c>
      <c r="K9" s="52" t="str">
        <f ca="1">IF(AND('Mapa final'!$AB$30="Muy Alta",'Mapa final'!$AD$30="Leve"),CONCATENATE("R4C",'Mapa final'!$R$30),"")</f>
        <v/>
      </c>
      <c r="L9" s="57" t="str">
        <f ca="1">IF(AND('Mapa final'!$AB$31="Muy Alta",'Mapa final'!$AD$31="Leve"),CONCATENATE("R4C",'Mapa final'!$R$31),"")</f>
        <v/>
      </c>
      <c r="M9" s="57" t="str">
        <f ca="1">IF(AND('Mapa final'!$AB$32="Muy Alta",'Mapa final'!$AD$32="Leve"),CONCATENATE("R4C",'Mapa final'!$R$32),"")</f>
        <v/>
      </c>
      <c r="N9" s="57" t="str">
        <f>IF(AND('Mapa final'!$AB$33="Muy Alta",'Mapa final'!$AD$33="Leve"),CONCATENATE("R4C",'Mapa final'!$R$33),"")</f>
        <v/>
      </c>
      <c r="O9" s="53" t="str">
        <f>IF(AND('Mapa final'!$AB$34="Muy Alta",'Mapa final'!$AD$34="Leve"),CONCATENATE("R4C",'Mapa final'!$R$34),"")</f>
        <v/>
      </c>
      <c r="P9" s="51" t="str">
        <f ca="1">IF(AND('Mapa final'!$AB$29="Muy Alta",'Mapa final'!$AD$29="Menor"),CONCATENATE("R4C",'Mapa final'!$R$29),"")</f>
        <v/>
      </c>
      <c r="Q9" s="52" t="str">
        <f ca="1">IF(AND('Mapa final'!$AB$30="Muy Alta",'Mapa final'!$AD$30="Menor"),CONCATENATE("R4C",'Mapa final'!$R$30),"")</f>
        <v/>
      </c>
      <c r="R9" s="57" t="str">
        <f ca="1">IF(AND('Mapa final'!$AB$31="Muy Alta",'Mapa final'!$AD$31="Menor"),CONCATENATE("R4C",'Mapa final'!$R$31),"")</f>
        <v/>
      </c>
      <c r="S9" s="57" t="str">
        <f ca="1">IF(AND('Mapa final'!$AB$32="Muy Alta",'Mapa final'!$AD$32="Menor"),CONCATENATE("R4C",'Mapa final'!$R$32),"")</f>
        <v/>
      </c>
      <c r="T9" s="57" t="str">
        <f>IF(AND('Mapa final'!$AB$33="Muy Alta",'Mapa final'!$AD$33="Menor"),CONCATENATE("R4C",'Mapa final'!$R$33),"")</f>
        <v/>
      </c>
      <c r="U9" s="53" t="str">
        <f>IF(AND('Mapa final'!$AB$34="Muy Alta",'Mapa final'!$AD$34="Menor"),CONCATENATE("R4C",'Mapa final'!$R$34),"")</f>
        <v/>
      </c>
      <c r="V9" s="51" t="str">
        <f ca="1">IF(AND('Mapa final'!$AB$29="Muy Alta",'Mapa final'!$AD$29="Moderado"),CONCATENATE("R4C",'Mapa final'!$R$29),"")</f>
        <v/>
      </c>
      <c r="W9" s="52" t="str">
        <f ca="1">IF(AND('Mapa final'!$AB$30="Muy Alta",'Mapa final'!$AD$30="Moderado"),CONCATENATE("R4C",'Mapa final'!$R$30),"")</f>
        <v/>
      </c>
      <c r="X9" s="57" t="str">
        <f ca="1">IF(AND('Mapa final'!$AB$31="Muy Alta",'Mapa final'!$AD$31="Moderado"),CONCATENATE("R4C",'Mapa final'!$R$31),"")</f>
        <v/>
      </c>
      <c r="Y9" s="57" t="str">
        <f ca="1">IF(AND('Mapa final'!$AB$32="Muy Alta",'Mapa final'!$AD$32="Moderado"),CONCATENATE("R4C",'Mapa final'!$R$32),"")</f>
        <v/>
      </c>
      <c r="Z9" s="57" t="str">
        <f>IF(AND('Mapa final'!$AB$33="Muy Alta",'Mapa final'!$AD$33="Moderado"),CONCATENATE("R4C",'Mapa final'!$R$33),"")</f>
        <v/>
      </c>
      <c r="AA9" s="53" t="str">
        <f>IF(AND('Mapa final'!$AB$34="Muy Alta",'Mapa final'!$AD$34="Moderado"),CONCATENATE("R4C",'Mapa final'!$R$34),"")</f>
        <v/>
      </c>
      <c r="AB9" s="51" t="str">
        <f ca="1">IF(AND('Mapa final'!$AB$29="Muy Alta",'Mapa final'!$AD$29="Mayor"),CONCATENATE("R4C",'Mapa final'!$R$29),"")</f>
        <v/>
      </c>
      <c r="AC9" s="52" t="str">
        <f ca="1">IF(AND('Mapa final'!$AB$30="Muy Alta",'Mapa final'!$AD$30="Mayor"),CONCATENATE("R4C",'Mapa final'!$R$30),"")</f>
        <v/>
      </c>
      <c r="AD9" s="57" t="str">
        <f ca="1">IF(AND('Mapa final'!$AB$31="Muy Alta",'Mapa final'!$AD$31="Mayor"),CONCATENATE("R4C",'Mapa final'!$R$31),"")</f>
        <v/>
      </c>
      <c r="AE9" s="57" t="str">
        <f ca="1">IF(AND('Mapa final'!$AB$32="Muy Alta",'Mapa final'!$AD$32="Mayor"),CONCATENATE("R4C",'Mapa final'!$R$32),"")</f>
        <v/>
      </c>
      <c r="AF9" s="57" t="str">
        <f>IF(AND('Mapa final'!$AB$33="Muy Alta",'Mapa final'!$AD$33="Mayor"),CONCATENATE("R4C",'Mapa final'!$R$33),"")</f>
        <v/>
      </c>
      <c r="AG9" s="53" t="str">
        <f>IF(AND('Mapa final'!$AB$34="Muy Alta",'Mapa final'!$AD$34="Mayor"),CONCATENATE("R4C",'Mapa final'!$R$34),"")</f>
        <v/>
      </c>
      <c r="AH9" s="54" t="str">
        <f ca="1">IF(AND('Mapa final'!$AB$29="Muy Alta",'Mapa final'!$AD$29="Catastrófico"),CONCATENATE("R4C",'Mapa final'!$R$29),"")</f>
        <v/>
      </c>
      <c r="AI9" s="55" t="str">
        <f ca="1">IF(AND('Mapa final'!$AB$30="Muy Alta",'Mapa final'!$AD$30="Catastrófico"),CONCATENATE("R4C",'Mapa final'!$R$30),"")</f>
        <v/>
      </c>
      <c r="AJ9" s="55" t="str">
        <f ca="1">IF(AND('Mapa final'!$AB$31="Muy Alta",'Mapa final'!$AD$31="Catastrófico"),CONCATENATE("R4C",'Mapa final'!$R$31),"")</f>
        <v/>
      </c>
      <c r="AK9" s="55" t="str">
        <f ca="1">IF(AND('Mapa final'!$AB$32="Muy Alta",'Mapa final'!$AD$32="Catastrófico"),CONCATENATE("R4C",'Mapa final'!$R$32),"")</f>
        <v/>
      </c>
      <c r="AL9" s="55" t="str">
        <f>IF(AND('Mapa final'!$AB$33="Muy Alta",'Mapa final'!$AD$33="Catastrófico"),CONCATENATE("R4C",'Mapa final'!$R$33),"")</f>
        <v/>
      </c>
      <c r="AM9" s="56" t="str">
        <f>IF(AND('Mapa final'!$AB$34="Muy Alta",'Mapa final'!$AD$34="Catastrófico"),CONCATENATE("R4C",'Mapa final'!$R$34),"")</f>
        <v/>
      </c>
      <c r="AN9" s="83"/>
      <c r="AO9" s="392"/>
      <c r="AP9" s="393"/>
      <c r="AQ9" s="393"/>
      <c r="AR9" s="393"/>
      <c r="AS9" s="393"/>
      <c r="AT9" s="39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84"/>
      <c r="C10" s="284"/>
      <c r="D10" s="285"/>
      <c r="E10" s="385"/>
      <c r="F10" s="386"/>
      <c r="G10" s="386"/>
      <c r="H10" s="386"/>
      <c r="I10" s="401"/>
      <c r="J10" s="51" t="str">
        <f ca="1">IF(AND('Mapa final'!$AB$41="Muy Alta",'Mapa final'!$AD$41="Leve"),CONCATENATE("R5C",'Mapa final'!$R$41),"")</f>
        <v/>
      </c>
      <c r="K10" s="52" t="str">
        <f ca="1">IF(AND('Mapa final'!$AB$42="Muy Alta",'Mapa final'!$AD$42="Leve"),CONCATENATE("R5C",'Mapa final'!$R$42),"")</f>
        <v/>
      </c>
      <c r="L10" s="57" t="str">
        <f ca="1">IF(AND('Mapa final'!$AB$43="Muy Alta",'Mapa final'!$AD$43="Leve"),CONCATENATE("R5C",'Mapa final'!$R$43),"")</f>
        <v/>
      </c>
      <c r="M10" s="57" t="str">
        <f ca="1">IF(AND('Mapa final'!$AB$44="Muy Alta",'Mapa final'!$AD$44="Leve"),CONCATENATE("R5C",'Mapa final'!$R$44),"")</f>
        <v/>
      </c>
      <c r="N10" s="57" t="str">
        <f>IF(AND('Mapa final'!$AB$45="Muy Alta",'Mapa final'!$AD$45="Leve"),CONCATENATE("R5C",'Mapa final'!$R$45),"")</f>
        <v/>
      </c>
      <c r="O10" s="53" t="str">
        <f>IF(AND('Mapa final'!$AB$46="Muy Alta",'Mapa final'!$AD$46="Leve"),CONCATENATE("R5C",'Mapa final'!$R$46),"")</f>
        <v/>
      </c>
      <c r="P10" s="51" t="str">
        <f ca="1">IF(AND('Mapa final'!$AB$41="Muy Alta",'Mapa final'!$AD$41="Menor"),CONCATENATE("R5C",'Mapa final'!$R$41),"")</f>
        <v/>
      </c>
      <c r="Q10" s="52" t="str">
        <f ca="1">IF(AND('Mapa final'!$AB$42="Muy Alta",'Mapa final'!$AD$42="Menor"),CONCATENATE("R5C",'Mapa final'!$R$42),"")</f>
        <v/>
      </c>
      <c r="R10" s="57" t="str">
        <f ca="1">IF(AND('Mapa final'!$AB$43="Muy Alta",'Mapa final'!$AD$43="Menor"),CONCATENATE("R5C",'Mapa final'!$R$43),"")</f>
        <v/>
      </c>
      <c r="S10" s="57" t="str">
        <f ca="1">IF(AND('Mapa final'!$AB$44="Muy Alta",'Mapa final'!$AD$44="Menor"),CONCATENATE("R5C",'Mapa final'!$R$44),"")</f>
        <v/>
      </c>
      <c r="T10" s="57" t="str">
        <f>IF(AND('Mapa final'!$AB$45="Muy Alta",'Mapa final'!$AD$45="Menor"),CONCATENATE("R5C",'Mapa final'!$R$45),"")</f>
        <v/>
      </c>
      <c r="U10" s="53" t="str">
        <f>IF(AND('Mapa final'!$AB$46="Muy Alta",'Mapa final'!$AD$46="Menor"),CONCATENATE("R5C",'Mapa final'!$R$46),"")</f>
        <v/>
      </c>
      <c r="V10" s="51" t="str">
        <f ca="1">IF(AND('Mapa final'!$AB$41="Muy Alta",'Mapa final'!$AD$41="Moderado"),CONCATENATE("R5C",'Mapa final'!$R$41),"")</f>
        <v/>
      </c>
      <c r="W10" s="52" t="str">
        <f ca="1">IF(AND('Mapa final'!$AB$42="Muy Alta",'Mapa final'!$AD$42="Moderado"),CONCATENATE("R5C",'Mapa final'!$R$42),"")</f>
        <v/>
      </c>
      <c r="X10" s="57" t="str">
        <f ca="1">IF(AND('Mapa final'!$AB$43="Muy Alta",'Mapa final'!$AD$43="Moderado"),CONCATENATE("R5C",'Mapa final'!$R$43),"")</f>
        <v/>
      </c>
      <c r="Y10" s="57" t="str">
        <f ca="1">IF(AND('Mapa final'!$AB$44="Muy Alta",'Mapa final'!$AD$44="Moderado"),CONCATENATE("R5C",'Mapa final'!$R$44),"")</f>
        <v/>
      </c>
      <c r="Z10" s="57" t="str">
        <f>IF(AND('Mapa final'!$AB$45="Muy Alta",'Mapa final'!$AD$45="Moderado"),CONCATENATE("R5C",'Mapa final'!$R$45),"")</f>
        <v/>
      </c>
      <c r="AA10" s="53" t="str">
        <f>IF(AND('Mapa final'!$AB$46="Muy Alta",'Mapa final'!$AD$46="Moderado"),CONCATENATE("R5C",'Mapa final'!$R$46),"")</f>
        <v/>
      </c>
      <c r="AB10" s="51" t="str">
        <f ca="1">IF(AND('Mapa final'!$AB$41="Muy Alta",'Mapa final'!$AD$41="Mayor"),CONCATENATE("R5C",'Mapa final'!$R$41),"")</f>
        <v/>
      </c>
      <c r="AC10" s="52" t="str">
        <f ca="1">IF(AND('Mapa final'!$AB$42="Muy Alta",'Mapa final'!$AD$42="Mayor"),CONCATENATE("R5C",'Mapa final'!$R$42),"")</f>
        <v/>
      </c>
      <c r="AD10" s="57" t="str">
        <f ca="1">IF(AND('Mapa final'!$AB$43="Muy Alta",'Mapa final'!$AD$43="Mayor"),CONCATENATE("R5C",'Mapa final'!$R$43),"")</f>
        <v/>
      </c>
      <c r="AE10" s="57" t="str">
        <f ca="1">IF(AND('Mapa final'!$AB$44="Muy Alta",'Mapa final'!$AD$44="Mayor"),CONCATENATE("R5C",'Mapa final'!$R$44),"")</f>
        <v/>
      </c>
      <c r="AF10" s="57" t="str">
        <f>IF(AND('Mapa final'!$AB$45="Muy Alta",'Mapa final'!$AD$45="Mayor"),CONCATENATE("R5C",'Mapa final'!$R$45),"")</f>
        <v/>
      </c>
      <c r="AG10" s="53" t="str">
        <f>IF(AND('Mapa final'!$AB$46="Muy Alta",'Mapa final'!$AD$46="Mayor"),CONCATENATE("R5C",'Mapa final'!$R$46),"")</f>
        <v/>
      </c>
      <c r="AH10" s="54" t="str">
        <f ca="1">IF(AND('Mapa final'!$AB$41="Muy Alta",'Mapa final'!$AD$41="Catastrófico"),CONCATENATE("R5C",'Mapa final'!$R$41),"")</f>
        <v/>
      </c>
      <c r="AI10" s="55" t="str">
        <f ca="1">IF(AND('Mapa final'!$AB$42="Muy Alta",'Mapa final'!$AD$42="Catastrófico"),CONCATENATE("R5C",'Mapa final'!$R$42),"")</f>
        <v/>
      </c>
      <c r="AJ10" s="55" t="str">
        <f ca="1">IF(AND('Mapa final'!$AB$43="Muy Alta",'Mapa final'!$AD$43="Catastrófico"),CONCATENATE("R5C",'Mapa final'!$R$43),"")</f>
        <v/>
      </c>
      <c r="AK10" s="55" t="str">
        <f ca="1">IF(AND('Mapa final'!$AB$44="Muy Alta",'Mapa final'!$AD$44="Catastrófico"),CONCATENATE("R5C",'Mapa final'!$R$44),"")</f>
        <v/>
      </c>
      <c r="AL10" s="55" t="str">
        <f>IF(AND('Mapa final'!$AB$45="Muy Alta",'Mapa final'!$AD$45="Catastrófico"),CONCATENATE("R5C",'Mapa final'!$R$45),"")</f>
        <v/>
      </c>
      <c r="AM10" s="56" t="str">
        <f>IF(AND('Mapa final'!$AB$46="Muy Alta",'Mapa final'!$AD$46="Catastrófico"),CONCATENATE("R5C",'Mapa final'!$R$46),"")</f>
        <v/>
      </c>
      <c r="AN10" s="83"/>
      <c r="AO10" s="392"/>
      <c r="AP10" s="393"/>
      <c r="AQ10" s="393"/>
      <c r="AR10" s="393"/>
      <c r="AS10" s="393"/>
      <c r="AT10" s="39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84"/>
      <c r="C11" s="284"/>
      <c r="D11" s="285"/>
      <c r="E11" s="385"/>
      <c r="F11" s="386"/>
      <c r="G11" s="386"/>
      <c r="H11" s="386"/>
      <c r="I11" s="401"/>
      <c r="J11" s="51" t="e">
        <f>IF(AND('Mapa final'!#REF!="Muy Alta",'Mapa final'!#REF!="Leve"),CONCATENATE("R6C",'Mapa final'!#REF!),"")</f>
        <v>#REF!</v>
      </c>
      <c r="K11" s="52" t="e">
        <f>IF(AND('Mapa final'!#REF!="Muy Alta",'Mapa final'!#REF!="Leve"),CONCATENATE("R6C",'Mapa final'!#REF!),"")</f>
        <v>#REF!</v>
      </c>
      <c r="L11" s="57" t="e">
        <f>IF(AND('Mapa final'!#REF!="Muy Alta",'Mapa final'!#REF!="Leve"),CONCATENATE("R6C",'Mapa final'!#REF!),"")</f>
        <v>#REF!</v>
      </c>
      <c r="M11" s="57" t="e">
        <f>IF(AND('Mapa final'!#REF!="Muy Alta",'Mapa final'!#REF!="Leve"),CONCATENATE("R6C",'Mapa final'!#REF!),"")</f>
        <v>#REF!</v>
      </c>
      <c r="N11" s="57" t="e">
        <f>IF(AND('Mapa final'!#REF!="Muy Alta",'Mapa final'!#REF!="Leve"),CONCATENATE("R6C",'Mapa final'!#REF!),"")</f>
        <v>#REF!</v>
      </c>
      <c r="O11" s="53" t="e">
        <f>IF(AND('Mapa final'!#REF!="Muy Alta",'Mapa final'!#REF!="Leve"),CONCATENATE("R6C",'Mapa final'!#REF!),"")</f>
        <v>#REF!</v>
      </c>
      <c r="P11" s="51" t="e">
        <f>IF(AND('Mapa final'!#REF!="Muy Alta",'Mapa final'!#REF!="Menor"),CONCATENATE("R6C",'Mapa final'!#REF!),"")</f>
        <v>#REF!</v>
      </c>
      <c r="Q11" s="52" t="e">
        <f>IF(AND('Mapa final'!#REF!="Muy Alta",'Mapa final'!#REF!="Menor"),CONCATENATE("R6C",'Mapa final'!#REF!),"")</f>
        <v>#REF!</v>
      </c>
      <c r="R11" s="57" t="e">
        <f>IF(AND('Mapa final'!#REF!="Muy Alta",'Mapa final'!#REF!="Menor"),CONCATENATE("R6C",'Mapa final'!#REF!),"")</f>
        <v>#REF!</v>
      </c>
      <c r="S11" s="57" t="e">
        <f>IF(AND('Mapa final'!#REF!="Muy Alta",'Mapa final'!#REF!="Menor"),CONCATENATE("R6C",'Mapa final'!#REF!),"")</f>
        <v>#REF!</v>
      </c>
      <c r="T11" s="57" t="e">
        <f>IF(AND('Mapa final'!#REF!="Muy Alta",'Mapa final'!#REF!="Menor"),CONCATENATE("R6C",'Mapa final'!#REF!),"")</f>
        <v>#REF!</v>
      </c>
      <c r="U11" s="53" t="e">
        <f>IF(AND('Mapa final'!#REF!="Muy Alta",'Mapa final'!#REF!="Menor"),CONCATENATE("R6C",'Mapa final'!#REF!),"")</f>
        <v>#REF!</v>
      </c>
      <c r="V11" s="51" t="e">
        <f>IF(AND('Mapa final'!#REF!="Muy Alta",'Mapa final'!#REF!="Moderado"),CONCATENATE("R6C",'Mapa final'!#REF!),"")</f>
        <v>#REF!</v>
      </c>
      <c r="W11" s="52" t="e">
        <f>IF(AND('Mapa final'!#REF!="Muy Alta",'Mapa final'!#REF!="Moderado"),CONCATENATE("R6C",'Mapa final'!#REF!),"")</f>
        <v>#REF!</v>
      </c>
      <c r="X11" s="57" t="e">
        <f>IF(AND('Mapa final'!#REF!="Muy Alta",'Mapa final'!#REF!="Moderado"),CONCATENATE("R6C",'Mapa final'!#REF!),"")</f>
        <v>#REF!</v>
      </c>
      <c r="Y11" s="57" t="e">
        <f>IF(AND('Mapa final'!#REF!="Muy Alta",'Mapa final'!#REF!="Moderado"),CONCATENATE("R6C",'Mapa final'!#REF!),"")</f>
        <v>#REF!</v>
      </c>
      <c r="Z11" s="57" t="e">
        <f>IF(AND('Mapa final'!#REF!="Muy Alta",'Mapa final'!#REF!="Moderado"),CONCATENATE("R6C",'Mapa final'!#REF!),"")</f>
        <v>#REF!</v>
      </c>
      <c r="AA11" s="53" t="e">
        <f>IF(AND('Mapa final'!#REF!="Muy Alta",'Mapa final'!#REF!="Moderado"),CONCATENATE("R6C",'Mapa final'!#REF!),"")</f>
        <v>#REF!</v>
      </c>
      <c r="AB11" s="51" t="e">
        <f>IF(AND('Mapa final'!#REF!="Muy Alta",'Mapa final'!#REF!="Mayor"),CONCATENATE("R6C",'Mapa final'!#REF!),"")</f>
        <v>#REF!</v>
      </c>
      <c r="AC11" s="52" t="e">
        <f>IF(AND('Mapa final'!#REF!="Muy Alta",'Mapa final'!#REF!="Mayor"),CONCATENATE("R6C",'Mapa final'!#REF!),"")</f>
        <v>#REF!</v>
      </c>
      <c r="AD11" s="57" t="e">
        <f>IF(AND('Mapa final'!#REF!="Muy Alta",'Mapa final'!#REF!="Mayor"),CONCATENATE("R6C",'Mapa final'!#REF!),"")</f>
        <v>#REF!</v>
      </c>
      <c r="AE11" s="57" t="e">
        <f>IF(AND('Mapa final'!#REF!="Muy Alta",'Mapa final'!#REF!="Mayor"),CONCATENATE("R6C",'Mapa final'!#REF!),"")</f>
        <v>#REF!</v>
      </c>
      <c r="AF11" s="57" t="e">
        <f>IF(AND('Mapa final'!#REF!="Muy Alta",'Mapa final'!#REF!="Mayor"),CONCATENATE("R6C",'Mapa final'!#REF!),"")</f>
        <v>#REF!</v>
      </c>
      <c r="AG11" s="53" t="e">
        <f>IF(AND('Mapa final'!#REF!="Muy Alta",'Mapa final'!#REF!="Mayor"),CONCATENATE("R6C",'Mapa final'!#REF!),"")</f>
        <v>#REF!</v>
      </c>
      <c r="AH11" s="54" t="e">
        <f>IF(AND('Mapa final'!#REF!="Muy Alta",'Mapa final'!#REF!="Catastrófico"),CONCATENATE("R6C",'Mapa final'!#REF!),"")</f>
        <v>#REF!</v>
      </c>
      <c r="AI11" s="55" t="e">
        <f>IF(AND('Mapa final'!#REF!="Muy Alta",'Mapa final'!#REF!="Catastrófico"),CONCATENATE("R6C",'Mapa final'!#REF!),"")</f>
        <v>#REF!</v>
      </c>
      <c r="AJ11" s="55" t="e">
        <f>IF(AND('Mapa final'!#REF!="Muy Alta",'Mapa final'!#REF!="Catastrófico"),CONCATENATE("R6C",'Mapa final'!#REF!),"")</f>
        <v>#REF!</v>
      </c>
      <c r="AK11" s="55" t="e">
        <f>IF(AND('Mapa final'!#REF!="Muy Alta",'Mapa final'!#REF!="Catastrófico"),CONCATENATE("R6C",'Mapa final'!#REF!),"")</f>
        <v>#REF!</v>
      </c>
      <c r="AL11" s="55" t="e">
        <f>IF(AND('Mapa final'!#REF!="Muy Alta",'Mapa final'!#REF!="Catastrófico"),CONCATENATE("R6C",'Mapa final'!#REF!),"")</f>
        <v>#REF!</v>
      </c>
      <c r="AM11" s="56" t="e">
        <f>IF(AND('Mapa final'!#REF!="Muy Alta",'Mapa final'!#REF!="Catastrófico"),CONCATENATE("R6C",'Mapa final'!#REF!),"")</f>
        <v>#REF!</v>
      </c>
      <c r="AN11" s="83"/>
      <c r="AO11" s="392"/>
      <c r="AP11" s="393"/>
      <c r="AQ11" s="393"/>
      <c r="AR11" s="393"/>
      <c r="AS11" s="393"/>
      <c r="AT11" s="39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84"/>
      <c r="C12" s="284"/>
      <c r="D12" s="285"/>
      <c r="E12" s="385"/>
      <c r="F12" s="386"/>
      <c r="G12" s="386"/>
      <c r="H12" s="386"/>
      <c r="I12" s="401"/>
      <c r="J12" s="51" t="e">
        <f>IF(AND('Mapa final'!#REF!="Muy Alta",'Mapa final'!#REF!="Leve"),CONCATENATE("R7C",'Mapa final'!#REF!),"")</f>
        <v>#REF!</v>
      </c>
      <c r="K12" s="52" t="e">
        <f>IF(AND('Mapa final'!#REF!="Muy Alta",'Mapa final'!#REF!="Leve"),CONCATENATE("R7C",'Mapa final'!#REF!),"")</f>
        <v>#REF!</v>
      </c>
      <c r="L12" s="57" t="e">
        <f>IF(AND('Mapa final'!#REF!="Muy Alta",'Mapa final'!#REF!="Leve"),CONCATENATE("R7C",'Mapa final'!#REF!),"")</f>
        <v>#REF!</v>
      </c>
      <c r="M12" s="57" t="e">
        <f>IF(AND('Mapa final'!#REF!="Muy Alta",'Mapa final'!#REF!="Leve"),CONCATENATE("R7C",'Mapa final'!#REF!),"")</f>
        <v>#REF!</v>
      </c>
      <c r="N12" s="57" t="e">
        <f>IF(AND('Mapa final'!#REF!="Muy Alta",'Mapa final'!#REF!="Leve"),CONCATENATE("R7C",'Mapa final'!#REF!),"")</f>
        <v>#REF!</v>
      </c>
      <c r="O12" s="53" t="e">
        <f>IF(AND('Mapa final'!#REF!="Muy Alta",'Mapa final'!#REF!="Leve"),CONCATENATE("R7C",'Mapa final'!#REF!),"")</f>
        <v>#REF!</v>
      </c>
      <c r="P12" s="51" t="e">
        <f>IF(AND('Mapa final'!#REF!="Muy Alta",'Mapa final'!#REF!="Menor"),CONCATENATE("R7C",'Mapa final'!#REF!),"")</f>
        <v>#REF!</v>
      </c>
      <c r="Q12" s="52" t="e">
        <f>IF(AND('Mapa final'!#REF!="Muy Alta",'Mapa final'!#REF!="Menor"),CONCATENATE("R7C",'Mapa final'!#REF!),"")</f>
        <v>#REF!</v>
      </c>
      <c r="R12" s="57" t="e">
        <f>IF(AND('Mapa final'!#REF!="Muy Alta",'Mapa final'!#REF!="Menor"),CONCATENATE("R7C",'Mapa final'!#REF!),"")</f>
        <v>#REF!</v>
      </c>
      <c r="S12" s="57" t="e">
        <f>IF(AND('Mapa final'!#REF!="Muy Alta",'Mapa final'!#REF!="Menor"),CONCATENATE("R7C",'Mapa final'!#REF!),"")</f>
        <v>#REF!</v>
      </c>
      <c r="T12" s="57" t="e">
        <f>IF(AND('Mapa final'!#REF!="Muy Alta",'Mapa final'!#REF!="Menor"),CONCATENATE("R7C",'Mapa final'!#REF!),"")</f>
        <v>#REF!</v>
      </c>
      <c r="U12" s="53" t="e">
        <f>IF(AND('Mapa final'!#REF!="Muy Alta",'Mapa final'!#REF!="Menor"),CONCATENATE("R7C",'Mapa final'!#REF!),"")</f>
        <v>#REF!</v>
      </c>
      <c r="V12" s="51" t="e">
        <f>IF(AND('Mapa final'!#REF!="Muy Alta",'Mapa final'!#REF!="Moderado"),CONCATENATE("R7C",'Mapa final'!#REF!),"")</f>
        <v>#REF!</v>
      </c>
      <c r="W12" s="52" t="e">
        <f>IF(AND('Mapa final'!#REF!="Muy Alta",'Mapa final'!#REF!="Moderado"),CONCATENATE("R7C",'Mapa final'!#REF!),"")</f>
        <v>#REF!</v>
      </c>
      <c r="X12" s="57" t="e">
        <f>IF(AND('Mapa final'!#REF!="Muy Alta",'Mapa final'!#REF!="Moderado"),CONCATENATE("R7C",'Mapa final'!#REF!),"")</f>
        <v>#REF!</v>
      </c>
      <c r="Y12" s="57" t="e">
        <f>IF(AND('Mapa final'!#REF!="Muy Alta",'Mapa final'!#REF!="Moderado"),CONCATENATE("R7C",'Mapa final'!#REF!),"")</f>
        <v>#REF!</v>
      </c>
      <c r="Z12" s="57" t="e">
        <f>IF(AND('Mapa final'!#REF!="Muy Alta",'Mapa final'!#REF!="Moderado"),CONCATENATE("R7C",'Mapa final'!#REF!),"")</f>
        <v>#REF!</v>
      </c>
      <c r="AA12" s="53" t="e">
        <f>IF(AND('Mapa final'!#REF!="Muy Alta",'Mapa final'!#REF!="Moderado"),CONCATENATE("R7C",'Mapa final'!#REF!),"")</f>
        <v>#REF!</v>
      </c>
      <c r="AB12" s="51" t="e">
        <f>IF(AND('Mapa final'!#REF!="Muy Alta",'Mapa final'!#REF!="Mayor"),CONCATENATE("R7C",'Mapa final'!#REF!),"")</f>
        <v>#REF!</v>
      </c>
      <c r="AC12" s="52" t="e">
        <f>IF(AND('Mapa final'!#REF!="Muy Alta",'Mapa final'!#REF!="Mayor"),CONCATENATE("R7C",'Mapa final'!#REF!),"")</f>
        <v>#REF!</v>
      </c>
      <c r="AD12" s="57" t="e">
        <f>IF(AND('Mapa final'!#REF!="Muy Alta",'Mapa final'!#REF!="Mayor"),CONCATENATE("R7C",'Mapa final'!#REF!),"")</f>
        <v>#REF!</v>
      </c>
      <c r="AE12" s="57" t="e">
        <f>IF(AND('Mapa final'!#REF!="Muy Alta",'Mapa final'!#REF!="Mayor"),CONCATENATE("R7C",'Mapa final'!#REF!),"")</f>
        <v>#REF!</v>
      </c>
      <c r="AF12" s="57" t="e">
        <f>IF(AND('Mapa final'!#REF!="Muy Alta",'Mapa final'!#REF!="Mayor"),CONCATENATE("R7C",'Mapa final'!#REF!),"")</f>
        <v>#REF!</v>
      </c>
      <c r="AG12" s="53" t="e">
        <f>IF(AND('Mapa final'!#REF!="Muy Alta",'Mapa final'!#REF!="Mayor"),CONCATENATE("R7C",'Mapa final'!#REF!),"")</f>
        <v>#REF!</v>
      </c>
      <c r="AH12" s="54" t="e">
        <f>IF(AND('Mapa final'!#REF!="Muy Alta",'Mapa final'!#REF!="Catastrófico"),CONCATENATE("R7C",'Mapa final'!#REF!),"")</f>
        <v>#REF!</v>
      </c>
      <c r="AI12" s="55" t="e">
        <f>IF(AND('Mapa final'!#REF!="Muy Alta",'Mapa final'!#REF!="Catastrófico"),CONCATENATE("R7C",'Mapa final'!#REF!),"")</f>
        <v>#REF!</v>
      </c>
      <c r="AJ12" s="55" t="e">
        <f>IF(AND('Mapa final'!#REF!="Muy Alta",'Mapa final'!#REF!="Catastrófico"),CONCATENATE("R7C",'Mapa final'!#REF!),"")</f>
        <v>#REF!</v>
      </c>
      <c r="AK12" s="55" t="e">
        <f>IF(AND('Mapa final'!#REF!="Muy Alta",'Mapa final'!#REF!="Catastrófico"),CONCATENATE("R7C",'Mapa final'!#REF!),"")</f>
        <v>#REF!</v>
      </c>
      <c r="AL12" s="55" t="e">
        <f>IF(AND('Mapa final'!#REF!="Muy Alta",'Mapa final'!#REF!="Catastrófico"),CONCATENATE("R7C",'Mapa final'!#REF!),"")</f>
        <v>#REF!</v>
      </c>
      <c r="AM12" s="56" t="e">
        <f>IF(AND('Mapa final'!#REF!="Muy Alta",'Mapa final'!#REF!="Catastrófico"),CONCATENATE("R7C",'Mapa final'!#REF!),"")</f>
        <v>#REF!</v>
      </c>
      <c r="AN12" s="83"/>
      <c r="AO12" s="392"/>
      <c r="AP12" s="393"/>
      <c r="AQ12" s="393"/>
      <c r="AR12" s="393"/>
      <c r="AS12" s="393"/>
      <c r="AT12" s="39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84"/>
      <c r="C13" s="284"/>
      <c r="D13" s="285"/>
      <c r="E13" s="385"/>
      <c r="F13" s="386"/>
      <c r="G13" s="386"/>
      <c r="H13" s="386"/>
      <c r="I13" s="401"/>
      <c r="J13" s="51" t="str">
        <f ca="1">IF(AND('Mapa final'!$AB$47="Muy Alta",'Mapa final'!$AD$47="Leve"),CONCATENATE("R8C",'Mapa final'!$R$47),"")</f>
        <v/>
      </c>
      <c r="K13" s="52" t="str">
        <f>IF(AND('Mapa final'!$AB$48="Muy Alta",'Mapa final'!$AD$48="Leve"),CONCATENATE("R8C",'Mapa final'!$R$48),"")</f>
        <v/>
      </c>
      <c r="L13" s="57" t="str">
        <f>IF(AND('Mapa final'!$AB$49="Muy Alta",'Mapa final'!$AD$49="Leve"),CONCATENATE("R8C",'Mapa final'!$R$49),"")</f>
        <v/>
      </c>
      <c r="M13" s="57" t="str">
        <f>IF(AND('Mapa final'!$AB$50="Muy Alta",'Mapa final'!$AD$50="Leve"),CONCATENATE("R8C",'Mapa final'!$R$50),"")</f>
        <v/>
      </c>
      <c r="N13" s="57" t="str">
        <f>IF(AND('Mapa final'!$AB$51="Muy Alta",'Mapa final'!$AD$51="Leve"),CONCATENATE("R8C",'Mapa final'!$R$51),"")</f>
        <v/>
      </c>
      <c r="O13" s="53" t="str">
        <f>IF(AND('Mapa final'!$AB$52="Muy Alta",'Mapa final'!$AD$52="Leve"),CONCATENATE("R8C",'Mapa final'!$R$52),"")</f>
        <v/>
      </c>
      <c r="P13" s="51" t="str">
        <f ca="1">IF(AND('Mapa final'!$AB$47="Muy Alta",'Mapa final'!$AD$47="Menor"),CONCATENATE("R8C",'Mapa final'!$R$47),"")</f>
        <v/>
      </c>
      <c r="Q13" s="52" t="str">
        <f>IF(AND('Mapa final'!$AB$48="Muy Alta",'Mapa final'!$AD$48="Menor"),CONCATENATE("R8C",'Mapa final'!$R$48),"")</f>
        <v/>
      </c>
      <c r="R13" s="57" t="str">
        <f>IF(AND('Mapa final'!$AB$49="Muy Alta",'Mapa final'!$AD$49="Menor"),CONCATENATE("R8C",'Mapa final'!$R$49),"")</f>
        <v/>
      </c>
      <c r="S13" s="57" t="str">
        <f>IF(AND('Mapa final'!$AB$50="Muy Alta",'Mapa final'!$AD$50="Menor"),CONCATENATE("R8C",'Mapa final'!$R$50),"")</f>
        <v/>
      </c>
      <c r="T13" s="57" t="str">
        <f>IF(AND('Mapa final'!$AB$51="Muy Alta",'Mapa final'!$AD$51="Menor"),CONCATENATE("R8C",'Mapa final'!$R$51),"")</f>
        <v/>
      </c>
      <c r="U13" s="53" t="str">
        <f>IF(AND('Mapa final'!$AB$52="Muy Alta",'Mapa final'!$AD$52="Menor"),CONCATENATE("R8C",'Mapa final'!$R$52),"")</f>
        <v/>
      </c>
      <c r="V13" s="51" t="str">
        <f ca="1">IF(AND('Mapa final'!$AB$47="Muy Alta",'Mapa final'!$AD$47="Moderado"),CONCATENATE("R8C",'Mapa final'!$R$47),"")</f>
        <v/>
      </c>
      <c r="W13" s="52" t="str">
        <f>IF(AND('Mapa final'!$AB$48="Muy Alta",'Mapa final'!$AD$48="Moderado"),CONCATENATE("R8C",'Mapa final'!$R$48),"")</f>
        <v/>
      </c>
      <c r="X13" s="57" t="str">
        <f>IF(AND('Mapa final'!$AB$49="Muy Alta",'Mapa final'!$AD$49="Moderado"),CONCATENATE("R8C",'Mapa final'!$R$49),"")</f>
        <v/>
      </c>
      <c r="Y13" s="57" t="str">
        <f>IF(AND('Mapa final'!$AB$50="Muy Alta",'Mapa final'!$AD$50="Moderado"),CONCATENATE("R8C",'Mapa final'!$R$50),"")</f>
        <v/>
      </c>
      <c r="Z13" s="57" t="str">
        <f>IF(AND('Mapa final'!$AB$51="Muy Alta",'Mapa final'!$AD$51="Moderado"),CONCATENATE("R8C",'Mapa final'!$R$51),"")</f>
        <v/>
      </c>
      <c r="AA13" s="53" t="str">
        <f>IF(AND('Mapa final'!$AB$52="Muy Alta",'Mapa final'!$AD$52="Moderado"),CONCATENATE("R8C",'Mapa final'!$R$52),"")</f>
        <v/>
      </c>
      <c r="AB13" s="51" t="str">
        <f ca="1">IF(AND('Mapa final'!$AB$47="Muy Alta",'Mapa final'!$AD$47="Mayor"),CONCATENATE("R8C",'Mapa final'!$R$47),"")</f>
        <v/>
      </c>
      <c r="AC13" s="52" t="str">
        <f>IF(AND('Mapa final'!$AB$48="Muy Alta",'Mapa final'!$AD$48="Mayor"),CONCATENATE("R8C",'Mapa final'!$R$48),"")</f>
        <v/>
      </c>
      <c r="AD13" s="57" t="str">
        <f>IF(AND('Mapa final'!$AB$49="Muy Alta",'Mapa final'!$AD$49="Mayor"),CONCATENATE("R8C",'Mapa final'!$R$49),"")</f>
        <v/>
      </c>
      <c r="AE13" s="57" t="str">
        <f>IF(AND('Mapa final'!$AB$50="Muy Alta",'Mapa final'!$AD$50="Mayor"),CONCATENATE("R8C",'Mapa final'!$R$50),"")</f>
        <v/>
      </c>
      <c r="AF13" s="57" t="str">
        <f>IF(AND('Mapa final'!$AB$51="Muy Alta",'Mapa final'!$AD$51="Mayor"),CONCATENATE("R8C",'Mapa final'!$R$51),"")</f>
        <v/>
      </c>
      <c r="AG13" s="53" t="str">
        <f>IF(AND('Mapa final'!$AB$52="Muy Alta",'Mapa final'!$AD$52="Mayor"),CONCATENATE("R8C",'Mapa final'!$R$52),"")</f>
        <v/>
      </c>
      <c r="AH13" s="54" t="str">
        <f ca="1">IF(AND('Mapa final'!$AB$47="Muy Alta",'Mapa final'!$AD$47="Catastrófico"),CONCATENATE("R8C",'Mapa final'!$R$47),"")</f>
        <v/>
      </c>
      <c r="AI13" s="55" t="str">
        <f>IF(AND('Mapa final'!$AB$48="Muy Alta",'Mapa final'!$AD$48="Catastrófico"),CONCATENATE("R8C",'Mapa final'!$R$48),"")</f>
        <v/>
      </c>
      <c r="AJ13" s="55" t="str">
        <f>IF(AND('Mapa final'!$AB$49="Muy Alta",'Mapa final'!$AD$49="Catastrófico"),CONCATENATE("R8C",'Mapa final'!$R$49),"")</f>
        <v/>
      </c>
      <c r="AK13" s="55" t="str">
        <f>IF(AND('Mapa final'!$AB$50="Muy Alta",'Mapa final'!$AD$50="Catastrófico"),CONCATENATE("R8C",'Mapa final'!$R$50),"")</f>
        <v/>
      </c>
      <c r="AL13" s="55" t="str">
        <f>IF(AND('Mapa final'!$AB$51="Muy Alta",'Mapa final'!$AD$51="Catastrófico"),CONCATENATE("R8C",'Mapa final'!$R$51),"")</f>
        <v/>
      </c>
      <c r="AM13" s="56" t="str">
        <f>IF(AND('Mapa final'!$AB$52="Muy Alta",'Mapa final'!$AD$52="Catastrófico"),CONCATENATE("R8C",'Mapa final'!$R$52),"")</f>
        <v/>
      </c>
      <c r="AN13" s="83"/>
      <c r="AO13" s="392"/>
      <c r="AP13" s="393"/>
      <c r="AQ13" s="393"/>
      <c r="AR13" s="393"/>
      <c r="AS13" s="393"/>
      <c r="AT13" s="39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84"/>
      <c r="C14" s="284"/>
      <c r="D14" s="285"/>
      <c r="E14" s="385"/>
      <c r="F14" s="386"/>
      <c r="G14" s="386"/>
      <c r="H14" s="386"/>
      <c r="I14" s="401"/>
      <c r="J14" s="51" t="str">
        <f ca="1">IF(AND('Mapa final'!$AB$59="Muy Alta",'Mapa final'!$AD$59="Leve"),CONCATENATE("R9C",'Mapa final'!$R$59),"")</f>
        <v/>
      </c>
      <c r="K14" s="52" t="str">
        <f ca="1">IF(AND('Mapa final'!$AB$60="Muy Alta",'Mapa final'!$AD$60="Leve"),CONCATENATE("R9C",'Mapa final'!$R$60),"")</f>
        <v/>
      </c>
      <c r="L14" s="57" t="str">
        <f>IF(AND('Mapa final'!$AB$61="Muy Alta",'Mapa final'!$AD$61="Leve"),CONCATENATE("R9C",'Mapa final'!$R$61),"")</f>
        <v/>
      </c>
      <c r="M14" s="57" t="str">
        <f>IF(AND('Mapa final'!$AB$62="Muy Alta",'Mapa final'!$AD$62="Leve"),CONCATENATE("R9C",'Mapa final'!$R$62),"")</f>
        <v/>
      </c>
      <c r="N14" s="57" t="str">
        <f>IF(AND('Mapa final'!$AB$63="Muy Alta",'Mapa final'!$AD$63="Leve"),CONCATENATE("R9C",'Mapa final'!$R$63),"")</f>
        <v/>
      </c>
      <c r="O14" s="53" t="str">
        <f>IF(AND('Mapa final'!$AB$70="Muy Alta",'Mapa final'!$AD$70="Leve"),CONCATENATE("R9C",'Mapa final'!$R$70),"")</f>
        <v/>
      </c>
      <c r="P14" s="51" t="str">
        <f ca="1">IF(AND('Mapa final'!$AB$59="Muy Alta",'Mapa final'!$AD$59="Menor"),CONCATENATE("R9C",'Mapa final'!$R$59),"")</f>
        <v/>
      </c>
      <c r="Q14" s="52" t="str">
        <f ca="1">IF(AND('Mapa final'!$AB$60="Muy Alta",'Mapa final'!$AD$60="Menor"),CONCATENATE("R9C",'Mapa final'!$R$60),"")</f>
        <v/>
      </c>
      <c r="R14" s="57" t="str">
        <f>IF(AND('Mapa final'!$AB$61="Muy Alta",'Mapa final'!$AD$61="Menor"),CONCATENATE("R9C",'Mapa final'!$R$61),"")</f>
        <v/>
      </c>
      <c r="S14" s="57" t="str">
        <f>IF(AND('Mapa final'!$AB$62="Muy Alta",'Mapa final'!$AD$62="Menor"),CONCATENATE("R9C",'Mapa final'!$R$62),"")</f>
        <v/>
      </c>
      <c r="T14" s="57" t="str">
        <f>IF(AND('Mapa final'!$AB$63="Muy Alta",'Mapa final'!$AD$63="Menor"),CONCATENATE("R9C",'Mapa final'!$R$63),"")</f>
        <v/>
      </c>
      <c r="U14" s="53" t="str">
        <f>IF(AND('Mapa final'!$AB$70="Muy Alta",'Mapa final'!$AD$70="Menor"),CONCATENATE("R9C",'Mapa final'!$R$70),"")</f>
        <v/>
      </c>
      <c r="V14" s="51" t="str">
        <f ca="1">IF(AND('Mapa final'!$AB$59="Muy Alta",'Mapa final'!$AD$59="Moderado"),CONCATENATE("R9C",'Mapa final'!$R$59),"")</f>
        <v/>
      </c>
      <c r="W14" s="52" t="str">
        <f ca="1">IF(AND('Mapa final'!$AB$60="Muy Alta",'Mapa final'!$AD$60="Moderado"),CONCATENATE("R9C",'Mapa final'!$R$60),"")</f>
        <v/>
      </c>
      <c r="X14" s="57" t="str">
        <f>IF(AND('Mapa final'!$AB$61="Muy Alta",'Mapa final'!$AD$61="Moderado"),CONCATENATE("R9C",'Mapa final'!$R$61),"")</f>
        <v/>
      </c>
      <c r="Y14" s="57" t="str">
        <f>IF(AND('Mapa final'!$AB$62="Muy Alta",'Mapa final'!$AD$62="Moderado"),CONCATENATE("R9C",'Mapa final'!$R$62),"")</f>
        <v/>
      </c>
      <c r="Z14" s="57" t="str">
        <f>IF(AND('Mapa final'!$AB$63="Muy Alta",'Mapa final'!$AD$63="Moderado"),CONCATENATE("R9C",'Mapa final'!$R$63),"")</f>
        <v/>
      </c>
      <c r="AA14" s="53" t="str">
        <f>IF(AND('Mapa final'!$AB$70="Muy Alta",'Mapa final'!$AD$70="Moderado"),CONCATENATE("R9C",'Mapa final'!$R$70),"")</f>
        <v/>
      </c>
      <c r="AB14" s="51" t="str">
        <f ca="1">IF(AND('Mapa final'!$AB$59="Muy Alta",'Mapa final'!$AD$59="Mayor"),CONCATENATE("R9C",'Mapa final'!$R$59),"")</f>
        <v/>
      </c>
      <c r="AC14" s="52" t="str">
        <f ca="1">IF(AND('Mapa final'!$AB$60="Muy Alta",'Mapa final'!$AD$60="Mayor"),CONCATENATE("R9C",'Mapa final'!$R$60),"")</f>
        <v/>
      </c>
      <c r="AD14" s="57" t="str">
        <f>IF(AND('Mapa final'!$AB$61="Muy Alta",'Mapa final'!$AD$61="Mayor"),CONCATENATE("R9C",'Mapa final'!$R$61),"")</f>
        <v/>
      </c>
      <c r="AE14" s="57" t="str">
        <f>IF(AND('Mapa final'!$AB$62="Muy Alta",'Mapa final'!$AD$62="Mayor"),CONCATENATE("R9C",'Mapa final'!$R$62),"")</f>
        <v/>
      </c>
      <c r="AF14" s="57" t="str">
        <f>IF(AND('Mapa final'!$AB$63="Muy Alta",'Mapa final'!$AD$63="Mayor"),CONCATENATE("R9C",'Mapa final'!$R$63),"")</f>
        <v/>
      </c>
      <c r="AG14" s="53" t="str">
        <f>IF(AND('Mapa final'!$AB$70="Muy Alta",'Mapa final'!$AD$70="Mayor"),CONCATENATE("R9C",'Mapa final'!$R$70),"")</f>
        <v/>
      </c>
      <c r="AH14" s="54" t="str">
        <f ca="1">IF(AND('Mapa final'!$AB$59="Muy Alta",'Mapa final'!$AD$59="Catastrófico"),CONCATENATE("R9C",'Mapa final'!$R$59),"")</f>
        <v/>
      </c>
      <c r="AI14" s="55" t="str">
        <f ca="1">IF(AND('Mapa final'!$AB$60="Muy Alta",'Mapa final'!$AD$60="Catastrófico"),CONCATENATE("R9C",'Mapa final'!$R$60),"")</f>
        <v/>
      </c>
      <c r="AJ14" s="55" t="str">
        <f>IF(AND('Mapa final'!$AB$61="Muy Alta",'Mapa final'!$AD$61="Catastrófico"),CONCATENATE("R9C",'Mapa final'!$R$61),"")</f>
        <v/>
      </c>
      <c r="AK14" s="55" t="str">
        <f>IF(AND('Mapa final'!$AB$62="Muy Alta",'Mapa final'!$AD$62="Catastrófico"),CONCATENATE("R9C",'Mapa final'!$R$62),"")</f>
        <v/>
      </c>
      <c r="AL14" s="55" t="str">
        <f>IF(AND('Mapa final'!$AB$63="Muy Alta",'Mapa final'!$AD$63="Catastrófico"),CONCATENATE("R9C",'Mapa final'!$R$63),"")</f>
        <v/>
      </c>
      <c r="AM14" s="56" t="str">
        <f>IF(AND('Mapa final'!$AB$70="Muy Alta",'Mapa final'!$AD$70="Catastrófico"),CONCATENATE("R9C",'Mapa final'!$R$70),"")</f>
        <v/>
      </c>
      <c r="AN14" s="83"/>
      <c r="AO14" s="392"/>
      <c r="AP14" s="393"/>
      <c r="AQ14" s="393"/>
      <c r="AR14" s="393"/>
      <c r="AS14" s="393"/>
      <c r="AT14" s="39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84"/>
      <c r="C15" s="284"/>
      <c r="D15" s="285"/>
      <c r="E15" s="387"/>
      <c r="F15" s="388"/>
      <c r="G15" s="388"/>
      <c r="H15" s="388"/>
      <c r="I15" s="402"/>
      <c r="J15" s="58" t="str">
        <f ca="1">IF(AND('Mapa final'!$AB$71="Muy Alta",'Mapa final'!$AD$71="Leve"),CONCATENATE("R10C",'Mapa final'!$R$71),"")</f>
        <v/>
      </c>
      <c r="K15" s="59" t="str">
        <f ca="1">IF(AND('Mapa final'!$AB$72="Muy Alta",'Mapa final'!$AD$72="Leve"),CONCATENATE("R10C",'Mapa final'!$R$72),"")</f>
        <v/>
      </c>
      <c r="L15" s="59" t="str">
        <f ca="1">IF(AND('Mapa final'!$AB$73="Muy Alta",'Mapa final'!$AD$73="Leve"),CONCATENATE("R10C",'Mapa final'!$R$73),"")</f>
        <v/>
      </c>
      <c r="M15" s="59" t="str">
        <f>IF(AND('Mapa final'!$AB$74="Muy Alta",'Mapa final'!$AD$74="Leve"),CONCATENATE("R10C",'Mapa final'!$R$74),"")</f>
        <v/>
      </c>
      <c r="N15" s="59" t="str">
        <f>IF(AND('Mapa final'!$AB$75="Muy Alta",'Mapa final'!$AD$75="Leve"),CONCATENATE("R10C",'Mapa final'!$R$75),"")</f>
        <v/>
      </c>
      <c r="O15" s="60" t="str">
        <f>IF(AND('Mapa final'!$AB$76="Muy Alta",'Mapa final'!$AD$76="Leve"),CONCATENATE("R10C",'Mapa final'!$R$76),"")</f>
        <v/>
      </c>
      <c r="P15" s="51" t="str">
        <f ca="1">IF(AND('Mapa final'!$AB$71="Muy Alta",'Mapa final'!$AD$71="Menor"),CONCATENATE("R10C",'Mapa final'!$R$71),"")</f>
        <v/>
      </c>
      <c r="Q15" s="52" t="str">
        <f ca="1">IF(AND('Mapa final'!$AB$72="Muy Alta",'Mapa final'!$AD$72="Menor"),CONCATENATE("R10C",'Mapa final'!$R$72),"")</f>
        <v/>
      </c>
      <c r="R15" s="52" t="str">
        <f ca="1">IF(AND('Mapa final'!$AB$73="Muy Alta",'Mapa final'!$AD$73="Menor"),CONCATENATE("R10C",'Mapa final'!$R$73),"")</f>
        <v/>
      </c>
      <c r="S15" s="52" t="str">
        <f>IF(AND('Mapa final'!$AB$74="Muy Alta",'Mapa final'!$AD$74="Menor"),CONCATENATE("R10C",'Mapa final'!$R$74),"")</f>
        <v/>
      </c>
      <c r="T15" s="52" t="str">
        <f>IF(AND('Mapa final'!$AB$75="Muy Alta",'Mapa final'!$AD$75="Menor"),CONCATENATE("R10C",'Mapa final'!$R$75),"")</f>
        <v/>
      </c>
      <c r="U15" s="53" t="str">
        <f>IF(AND('Mapa final'!$AB$76="Muy Alta",'Mapa final'!$AD$76="Menor"),CONCATENATE("R10C",'Mapa final'!$R$76),"")</f>
        <v/>
      </c>
      <c r="V15" s="58" t="str">
        <f ca="1">IF(AND('Mapa final'!$AB$71="Muy Alta",'Mapa final'!$AD$71="Moderado"),CONCATENATE("R10C",'Mapa final'!$R$71),"")</f>
        <v/>
      </c>
      <c r="W15" s="59" t="str">
        <f ca="1">IF(AND('Mapa final'!$AB$72="Muy Alta",'Mapa final'!$AD$72="Moderado"),CONCATENATE("R10C",'Mapa final'!$R$72),"")</f>
        <v/>
      </c>
      <c r="X15" s="59" t="str">
        <f ca="1">IF(AND('Mapa final'!$AB$73="Muy Alta",'Mapa final'!$AD$73="Moderado"),CONCATENATE("R10C",'Mapa final'!$R$73),"")</f>
        <v/>
      </c>
      <c r="Y15" s="59" t="str">
        <f>IF(AND('Mapa final'!$AB$74="Muy Alta",'Mapa final'!$AD$74="Moderado"),CONCATENATE("R10C",'Mapa final'!$R$74),"")</f>
        <v/>
      </c>
      <c r="Z15" s="59" t="str">
        <f>IF(AND('Mapa final'!$AB$75="Muy Alta",'Mapa final'!$AD$75="Moderado"),CONCATENATE("R10C",'Mapa final'!$R$75),"")</f>
        <v/>
      </c>
      <c r="AA15" s="60" t="str">
        <f>IF(AND('Mapa final'!$AB$76="Muy Alta",'Mapa final'!$AD$76="Moderado"),CONCATENATE("R10C",'Mapa final'!$R$76),"")</f>
        <v/>
      </c>
      <c r="AB15" s="51" t="str">
        <f ca="1">IF(AND('Mapa final'!$AB$71="Muy Alta",'Mapa final'!$AD$71="Mayor"),CONCATENATE("R10C",'Mapa final'!$R$71),"")</f>
        <v/>
      </c>
      <c r="AC15" s="52" t="str">
        <f ca="1">IF(AND('Mapa final'!$AB$72="Muy Alta",'Mapa final'!$AD$72="Mayor"),CONCATENATE("R10C",'Mapa final'!$R$72),"")</f>
        <v/>
      </c>
      <c r="AD15" s="52" t="str">
        <f ca="1">IF(AND('Mapa final'!$AB$73="Muy Alta",'Mapa final'!$AD$73="Mayor"),CONCATENATE("R10C",'Mapa final'!$R$73),"")</f>
        <v/>
      </c>
      <c r="AE15" s="52" t="str">
        <f>IF(AND('Mapa final'!$AB$74="Muy Alta",'Mapa final'!$AD$74="Mayor"),CONCATENATE("R10C",'Mapa final'!$R$74),"")</f>
        <v/>
      </c>
      <c r="AF15" s="52" t="str">
        <f>IF(AND('Mapa final'!$AB$75="Muy Alta",'Mapa final'!$AD$75="Mayor"),CONCATENATE("R10C",'Mapa final'!$R$75),"")</f>
        <v/>
      </c>
      <c r="AG15" s="53" t="str">
        <f>IF(AND('Mapa final'!$AB$76="Muy Alta",'Mapa final'!$AD$76="Mayor"),CONCATENATE("R10C",'Mapa final'!$R$76),"")</f>
        <v/>
      </c>
      <c r="AH15" s="61" t="str">
        <f ca="1">IF(AND('Mapa final'!$AB$71="Muy Alta",'Mapa final'!$AD$71="Catastrófico"),CONCATENATE("R10C",'Mapa final'!$R$71),"")</f>
        <v/>
      </c>
      <c r="AI15" s="62" t="str">
        <f ca="1">IF(AND('Mapa final'!$AB$72="Muy Alta",'Mapa final'!$AD$72="Catastrófico"),CONCATENATE("R10C",'Mapa final'!$R$72),"")</f>
        <v/>
      </c>
      <c r="AJ15" s="62" t="str">
        <f ca="1">IF(AND('Mapa final'!$AB$73="Muy Alta",'Mapa final'!$AD$73="Catastrófico"),CONCATENATE("R10C",'Mapa final'!$R$73),"")</f>
        <v/>
      </c>
      <c r="AK15" s="62" t="str">
        <f>IF(AND('Mapa final'!$AB$74="Muy Alta",'Mapa final'!$AD$74="Catastrófico"),CONCATENATE("R10C",'Mapa final'!$R$74),"")</f>
        <v/>
      </c>
      <c r="AL15" s="62" t="str">
        <f>IF(AND('Mapa final'!$AB$75="Muy Alta",'Mapa final'!$AD$75="Catastrófico"),CONCATENATE("R10C",'Mapa final'!$R$75),"")</f>
        <v/>
      </c>
      <c r="AM15" s="63" t="str">
        <f>IF(AND('Mapa final'!$AB$76="Muy Alta",'Mapa final'!$AD$76="Catastrófico"),CONCATENATE("R10C",'Mapa final'!$R$76),"")</f>
        <v/>
      </c>
      <c r="AN15" s="83"/>
      <c r="AO15" s="395"/>
      <c r="AP15" s="396"/>
      <c r="AQ15" s="396"/>
      <c r="AR15" s="396"/>
      <c r="AS15" s="396"/>
      <c r="AT15" s="39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84"/>
      <c r="C16" s="284"/>
      <c r="D16" s="285"/>
      <c r="E16" s="381" t="s">
        <v>107</v>
      </c>
      <c r="F16" s="382"/>
      <c r="G16" s="382"/>
      <c r="H16" s="382"/>
      <c r="I16" s="382"/>
      <c r="J16" s="64" t="str">
        <f ca="1">IF(AND('Mapa final'!$AB$11="Alta",'Mapa final'!$AD$11="Leve"),CONCATENATE("R1C",'Mapa final'!$R$11),"")</f>
        <v/>
      </c>
      <c r="K16" s="65" t="str">
        <f ca="1">IF(AND('Mapa final'!$AB$12="Alta",'Mapa final'!$AD$12="Leve"),CONCATENATE("R1C",'Mapa final'!$R$12),"")</f>
        <v/>
      </c>
      <c r="L16" s="65" t="str">
        <f>IF(AND('Mapa final'!$AB$13="Alta",'Mapa final'!$AD$13="Leve"),CONCATENATE("R1C",'Mapa final'!$R$13),"")</f>
        <v/>
      </c>
      <c r="M16" s="65" t="str">
        <f>IF(AND('Mapa final'!$AB$14="Alta",'Mapa final'!$AD$14="Leve"),CONCATENATE("R1C",'Mapa final'!$R$14),"")</f>
        <v/>
      </c>
      <c r="N16" s="65" t="str">
        <f>IF(AND('Mapa final'!$AB$15="Alta",'Mapa final'!$AD$15="Leve"),CONCATENATE("R1C",'Mapa final'!$R$15),"")</f>
        <v/>
      </c>
      <c r="O16" s="66" t="str">
        <f>IF(AND('Mapa final'!$AB$16="Alta",'Mapa final'!$AD$16="Leve"),CONCATENATE("R1C",'Mapa final'!$R$16),"")</f>
        <v/>
      </c>
      <c r="P16" s="64" t="str">
        <f ca="1">IF(AND('Mapa final'!$AB$11="Alta",'Mapa final'!$AD$11="Menor"),CONCATENATE("R1C",'Mapa final'!$R$11),"")</f>
        <v/>
      </c>
      <c r="Q16" s="65" t="str">
        <f ca="1">IF(AND('Mapa final'!$AB$12="Alta",'Mapa final'!$AD$12="Menor"),CONCATENATE("R1C",'Mapa final'!$R$12),"")</f>
        <v/>
      </c>
      <c r="R16" s="65" t="str">
        <f>IF(AND('Mapa final'!$AB$13="Alta",'Mapa final'!$AD$13="Menor"),CONCATENATE("R1C",'Mapa final'!$R$13),"")</f>
        <v/>
      </c>
      <c r="S16" s="65" t="str">
        <f>IF(AND('Mapa final'!$AB$14="Alta",'Mapa final'!$AD$14="Menor"),CONCATENATE("R1C",'Mapa final'!$R$14),"")</f>
        <v/>
      </c>
      <c r="T16" s="65" t="str">
        <f>IF(AND('Mapa final'!$AB$15="Alta",'Mapa final'!$AD$15="Menor"),CONCATENATE("R1C",'Mapa final'!$R$15),"")</f>
        <v/>
      </c>
      <c r="U16" s="66" t="str">
        <f>IF(AND('Mapa final'!$AB$16="Alta",'Mapa final'!$AD$16="Menor"),CONCATENATE("R1C",'Mapa final'!$R$16),"")</f>
        <v/>
      </c>
      <c r="V16" s="45" t="str">
        <f ca="1">IF(AND('Mapa final'!$AB$11="Alta",'Mapa final'!$AD$11="Moderado"),CONCATENATE("R1C",'Mapa final'!$R$11),"")</f>
        <v/>
      </c>
      <c r="W16" s="46" t="str">
        <f ca="1">IF(AND('Mapa final'!$AB$12="Alta",'Mapa final'!$AD$12="Moderado"),CONCATENATE("R1C",'Mapa final'!$R$12),"")</f>
        <v/>
      </c>
      <c r="X16" s="46" t="str">
        <f>IF(AND('Mapa final'!$AB$13="Alta",'Mapa final'!$AD$13="Moderado"),CONCATENATE("R1C",'Mapa final'!$R$13),"")</f>
        <v/>
      </c>
      <c r="Y16" s="46" t="str">
        <f>IF(AND('Mapa final'!$AB$14="Alta",'Mapa final'!$AD$14="Moderado"),CONCATENATE("R1C",'Mapa final'!$R$14),"")</f>
        <v/>
      </c>
      <c r="Z16" s="46" t="str">
        <f>IF(AND('Mapa final'!$AB$15="Alta",'Mapa final'!$AD$15="Moderado"),CONCATENATE("R1C",'Mapa final'!$R$15),"")</f>
        <v/>
      </c>
      <c r="AA16" s="47" t="str">
        <f>IF(AND('Mapa final'!$AB$16="Alta",'Mapa final'!$AD$16="Moderado"),CONCATENATE("R1C",'Mapa final'!$R$16),"")</f>
        <v/>
      </c>
      <c r="AB16" s="45" t="str">
        <f ca="1">IF(AND('Mapa final'!$AB$11="Alta",'Mapa final'!$AD$11="Mayor"),CONCATENATE("R1C",'Mapa final'!$R$11),"")</f>
        <v/>
      </c>
      <c r="AC16" s="46" t="str">
        <f ca="1">IF(AND('Mapa final'!$AB$12="Alta",'Mapa final'!$AD$12="Mayor"),CONCATENATE("R1C",'Mapa final'!$R$12),"")</f>
        <v/>
      </c>
      <c r="AD16" s="46" t="str">
        <f>IF(AND('Mapa final'!$AB$13="Alta",'Mapa final'!$AD$13="Mayor"),CONCATENATE("R1C",'Mapa final'!$R$13),"")</f>
        <v/>
      </c>
      <c r="AE16" s="46" t="str">
        <f>IF(AND('Mapa final'!$AB$14="Alta",'Mapa final'!$AD$14="Mayor"),CONCATENATE("R1C",'Mapa final'!$R$14),"")</f>
        <v/>
      </c>
      <c r="AF16" s="46" t="str">
        <f>IF(AND('Mapa final'!$AB$15="Alta",'Mapa final'!$AD$15="Mayor"),CONCATENATE("R1C",'Mapa final'!$R$15),"")</f>
        <v/>
      </c>
      <c r="AG16" s="47" t="str">
        <f>IF(AND('Mapa final'!$AB$16="Alta",'Mapa final'!$AD$16="Mayor"),CONCATENATE("R1C",'Mapa final'!$R$16),"")</f>
        <v/>
      </c>
      <c r="AH16" s="48" t="str">
        <f ca="1">IF(AND('Mapa final'!$AB$11="Alta",'Mapa final'!$AD$11="Catastrófico"),CONCATENATE("R1C",'Mapa final'!$R$11),"")</f>
        <v/>
      </c>
      <c r="AI16" s="49" t="str">
        <f ca="1">IF(AND('Mapa final'!$AB$12="Alta",'Mapa final'!$AD$12="Catastrófico"),CONCATENATE("R1C",'Mapa final'!$R$12),"")</f>
        <v/>
      </c>
      <c r="AJ16" s="49" t="str">
        <f>IF(AND('Mapa final'!$AB$13="Alta",'Mapa final'!$AD$13="Catastrófico"),CONCATENATE("R1C",'Mapa final'!$R$13),"")</f>
        <v/>
      </c>
      <c r="AK16" s="49" t="str">
        <f>IF(AND('Mapa final'!$AB$14="Alta",'Mapa final'!$AD$14="Catastrófico"),CONCATENATE("R1C",'Mapa final'!$R$14),"")</f>
        <v/>
      </c>
      <c r="AL16" s="49" t="str">
        <f>IF(AND('Mapa final'!$AB$15="Alta",'Mapa final'!$AD$15="Catastrófico"),CONCATENATE("R1C",'Mapa final'!$R$15),"")</f>
        <v/>
      </c>
      <c r="AM16" s="50" t="str">
        <f>IF(AND('Mapa final'!$AB$16="Alta",'Mapa final'!$AD$16="Catastrófico"),CONCATENATE("R1C",'Mapa final'!$R$16),"")</f>
        <v/>
      </c>
      <c r="AN16" s="83"/>
      <c r="AO16" s="372" t="s">
        <v>77</v>
      </c>
      <c r="AP16" s="373"/>
      <c r="AQ16" s="373"/>
      <c r="AR16" s="373"/>
      <c r="AS16" s="373"/>
      <c r="AT16" s="37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84"/>
      <c r="C17" s="284"/>
      <c r="D17" s="285"/>
      <c r="E17" s="383"/>
      <c r="F17" s="384"/>
      <c r="G17" s="384"/>
      <c r="H17" s="384"/>
      <c r="I17" s="384"/>
      <c r="J17" s="67" t="str">
        <f ca="1">IF(AND('Mapa final'!$AB$17="Alta",'Mapa final'!$AD$17="Leve"),CONCATENATE("R2C",'Mapa final'!$R$17),"")</f>
        <v/>
      </c>
      <c r="K17" s="68" t="str">
        <f ca="1">IF(AND('Mapa final'!$AB$18="Alta",'Mapa final'!$AD$18="Leve"),CONCATENATE("R2C",'Mapa final'!$R$18),"")</f>
        <v/>
      </c>
      <c r="L17" s="68" t="str">
        <f ca="1">IF(AND('Mapa final'!$AB$19="Alta",'Mapa final'!$AD$19="Leve"),CONCATENATE("R2C",'Mapa final'!$R$19),"")</f>
        <v/>
      </c>
      <c r="M17" s="68" t="str">
        <f>IF(AND('Mapa final'!$AB$20="Alta",'Mapa final'!$AD$20="Leve"),CONCATENATE("R2C",'Mapa final'!$R$20),"")</f>
        <v/>
      </c>
      <c r="N17" s="68" t="str">
        <f>IF(AND('Mapa final'!$AB$21="Alta",'Mapa final'!$AD$21="Leve"),CONCATENATE("R2C",'Mapa final'!$R$21),"")</f>
        <v/>
      </c>
      <c r="O17" s="69" t="str">
        <f>IF(AND('Mapa final'!$AB$22="Alta",'Mapa final'!$AD$22="Leve"),CONCATENATE("R2C",'Mapa final'!$R$22),"")</f>
        <v/>
      </c>
      <c r="P17" s="67" t="str">
        <f ca="1">IF(AND('Mapa final'!$AB$17="Alta",'Mapa final'!$AD$17="Menor"),CONCATENATE("R2C",'Mapa final'!$R$17),"")</f>
        <v/>
      </c>
      <c r="Q17" s="68" t="str">
        <f ca="1">IF(AND('Mapa final'!$AB$18="Alta",'Mapa final'!$AD$18="Menor"),CONCATENATE("R2C",'Mapa final'!$R$18),"")</f>
        <v/>
      </c>
      <c r="R17" s="68" t="str">
        <f ca="1">IF(AND('Mapa final'!$AB$19="Alta",'Mapa final'!$AD$19="Menor"),CONCATENATE("R2C",'Mapa final'!$R$19),"")</f>
        <v/>
      </c>
      <c r="S17" s="68" t="str">
        <f>IF(AND('Mapa final'!$AB$20="Alta",'Mapa final'!$AD$20="Menor"),CONCATENATE("R2C",'Mapa final'!$R$20),"")</f>
        <v/>
      </c>
      <c r="T17" s="68" t="str">
        <f>IF(AND('Mapa final'!$AB$21="Alta",'Mapa final'!$AD$21="Menor"),CONCATENATE("R2C",'Mapa final'!$R$21),"")</f>
        <v/>
      </c>
      <c r="U17" s="69" t="str">
        <f>IF(AND('Mapa final'!$AB$22="Alta",'Mapa final'!$AD$22="Menor"),CONCATENATE("R2C",'Mapa final'!$R$22),"")</f>
        <v/>
      </c>
      <c r="V17" s="51" t="str">
        <f ca="1">IF(AND('Mapa final'!$AB$17="Alta",'Mapa final'!$AD$17="Moderado"),CONCATENATE("R2C",'Mapa final'!$R$17),"")</f>
        <v/>
      </c>
      <c r="W17" s="52" t="str">
        <f ca="1">IF(AND('Mapa final'!$AB$18="Alta",'Mapa final'!$AD$18="Moderado"),CONCATENATE("R2C",'Mapa final'!$R$18),"")</f>
        <v/>
      </c>
      <c r="X17" s="52" t="str">
        <f ca="1">IF(AND('Mapa final'!$AB$19="Alta",'Mapa final'!$AD$19="Moderado"),CONCATENATE("R2C",'Mapa final'!$R$19),"")</f>
        <v/>
      </c>
      <c r="Y17" s="52" t="str">
        <f>IF(AND('Mapa final'!$AB$20="Alta",'Mapa final'!$AD$20="Moderado"),CONCATENATE("R2C",'Mapa final'!$R$20),"")</f>
        <v/>
      </c>
      <c r="Z17" s="52" t="str">
        <f>IF(AND('Mapa final'!$AB$21="Alta",'Mapa final'!$AD$21="Moderado"),CONCATENATE("R2C",'Mapa final'!$R$21),"")</f>
        <v/>
      </c>
      <c r="AA17" s="53" t="str">
        <f>IF(AND('Mapa final'!$AB$22="Alta",'Mapa final'!$AD$22="Moderado"),CONCATENATE("R2C",'Mapa final'!$R$22),"")</f>
        <v/>
      </c>
      <c r="AB17" s="51" t="str">
        <f ca="1">IF(AND('Mapa final'!$AB$17="Alta",'Mapa final'!$AD$17="Mayor"),CONCATENATE("R2C",'Mapa final'!$R$17),"")</f>
        <v/>
      </c>
      <c r="AC17" s="52" t="str">
        <f ca="1">IF(AND('Mapa final'!$AB$18="Alta",'Mapa final'!$AD$18="Mayor"),CONCATENATE("R2C",'Mapa final'!$R$18),"")</f>
        <v/>
      </c>
      <c r="AD17" s="52" t="str">
        <f ca="1">IF(AND('Mapa final'!$AB$19="Alta",'Mapa final'!$AD$19="Mayor"),CONCATENATE("R2C",'Mapa final'!$R$19),"")</f>
        <v/>
      </c>
      <c r="AE17" s="52" t="str">
        <f>IF(AND('Mapa final'!$AB$20="Alta",'Mapa final'!$AD$20="Mayor"),CONCATENATE("R2C",'Mapa final'!$R$20),"")</f>
        <v/>
      </c>
      <c r="AF17" s="52" t="str">
        <f>IF(AND('Mapa final'!$AB$21="Alta",'Mapa final'!$AD$21="Mayor"),CONCATENATE("R2C",'Mapa final'!$R$21),"")</f>
        <v/>
      </c>
      <c r="AG17" s="53" t="str">
        <f>IF(AND('Mapa final'!$AB$22="Alta",'Mapa final'!$AD$22="Mayor"),CONCATENATE("R2C",'Mapa final'!$R$22),"")</f>
        <v/>
      </c>
      <c r="AH17" s="54" t="str">
        <f ca="1">IF(AND('Mapa final'!$AB$17="Alta",'Mapa final'!$AD$17="Catastrófico"),CONCATENATE("R2C",'Mapa final'!$R$17),"")</f>
        <v/>
      </c>
      <c r="AI17" s="55" t="str">
        <f ca="1">IF(AND('Mapa final'!$AB$18="Alta",'Mapa final'!$AD$18="Catastrófico"),CONCATENATE("R2C",'Mapa final'!$R$18),"")</f>
        <v/>
      </c>
      <c r="AJ17" s="55" t="str">
        <f ca="1">IF(AND('Mapa final'!$AB$19="Alta",'Mapa final'!$AD$19="Catastrófico"),CONCATENATE("R2C",'Mapa final'!$R$19),"")</f>
        <v/>
      </c>
      <c r="AK17" s="55" t="str">
        <f>IF(AND('Mapa final'!$AB$20="Alta",'Mapa final'!$AD$20="Catastrófico"),CONCATENATE("R2C",'Mapa final'!$R$20),"")</f>
        <v/>
      </c>
      <c r="AL17" s="55" t="str">
        <f>IF(AND('Mapa final'!$AB$21="Alta",'Mapa final'!$AD$21="Catastrófico"),CONCATENATE("R2C",'Mapa final'!$R$21),"")</f>
        <v/>
      </c>
      <c r="AM17" s="56" t="str">
        <f>IF(AND('Mapa final'!$AB$22="Alta",'Mapa final'!$AD$22="Catastrófico"),CONCATENATE("R2C",'Mapa final'!$R$22),"")</f>
        <v/>
      </c>
      <c r="AN17" s="83"/>
      <c r="AO17" s="375"/>
      <c r="AP17" s="376"/>
      <c r="AQ17" s="376"/>
      <c r="AR17" s="376"/>
      <c r="AS17" s="376"/>
      <c r="AT17" s="37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84"/>
      <c r="C18" s="284"/>
      <c r="D18" s="285"/>
      <c r="E18" s="385"/>
      <c r="F18" s="386"/>
      <c r="G18" s="386"/>
      <c r="H18" s="386"/>
      <c r="I18" s="384"/>
      <c r="J18" s="67" t="str">
        <f ca="1">IF(AND('Mapa final'!$AB$23="Alta",'Mapa final'!$AD$23="Leve"),CONCATENATE("R3C",'Mapa final'!$R$23),"")</f>
        <v/>
      </c>
      <c r="K18" s="68" t="str">
        <f ca="1">IF(AND('Mapa final'!$AB$24="Alta",'Mapa final'!$AD$24="Leve"),CONCATENATE("R3C",'Mapa final'!$R$24),"")</f>
        <v/>
      </c>
      <c r="L18" s="68" t="str">
        <f ca="1">IF(AND('Mapa final'!$AB$25="Alta",'Mapa final'!$AD$25="Leve"),CONCATENATE("R3C",'Mapa final'!$R$25),"")</f>
        <v/>
      </c>
      <c r="M18" s="68" t="str">
        <f ca="1">IF(AND('Mapa final'!$AB$26="Alta",'Mapa final'!$AD$26="Leve"),CONCATENATE("R3C",'Mapa final'!$R$26),"")</f>
        <v/>
      </c>
      <c r="N18" s="68" t="str">
        <f ca="1">IF(AND('Mapa final'!$AB$27="Alta",'Mapa final'!$AD$27="Leve"),CONCATENATE("R3C",'Mapa final'!$R$27),"")</f>
        <v/>
      </c>
      <c r="O18" s="69" t="str">
        <f>IF(AND('Mapa final'!$AB$28="Alta",'Mapa final'!$AD$28="Leve"),CONCATENATE("R3C",'Mapa final'!$R$28),"")</f>
        <v/>
      </c>
      <c r="P18" s="67" t="str">
        <f ca="1">IF(AND('Mapa final'!$AB$23="Alta",'Mapa final'!$AD$23="Menor"),CONCATENATE("R3C",'Mapa final'!$R$23),"")</f>
        <v/>
      </c>
      <c r="Q18" s="68" t="str">
        <f ca="1">IF(AND('Mapa final'!$AB$24="Alta",'Mapa final'!$AD$24="Menor"),CONCATENATE("R3C",'Mapa final'!$R$24),"")</f>
        <v/>
      </c>
      <c r="R18" s="68" t="str">
        <f ca="1">IF(AND('Mapa final'!$AB$25="Alta",'Mapa final'!$AD$25="Menor"),CONCATENATE("R3C",'Mapa final'!$R$25),"")</f>
        <v/>
      </c>
      <c r="S18" s="68" t="str">
        <f ca="1">IF(AND('Mapa final'!$AB$26="Alta",'Mapa final'!$AD$26="Menor"),CONCATENATE("R3C",'Mapa final'!$R$26),"")</f>
        <v/>
      </c>
      <c r="T18" s="68" t="str">
        <f ca="1">IF(AND('Mapa final'!$AB$27="Alta",'Mapa final'!$AD$27="Menor"),CONCATENATE("R3C",'Mapa final'!$R$27),"")</f>
        <v/>
      </c>
      <c r="U18" s="69" t="str">
        <f>IF(AND('Mapa final'!$AB$28="Alta",'Mapa final'!$AD$28="Menor"),CONCATENATE("R3C",'Mapa final'!$R$28),"")</f>
        <v/>
      </c>
      <c r="V18" s="51" t="str">
        <f ca="1">IF(AND('Mapa final'!$AB$23="Alta",'Mapa final'!$AD$23="Moderado"),CONCATENATE("R3C",'Mapa final'!$R$23),"")</f>
        <v/>
      </c>
      <c r="W18" s="52" t="str">
        <f ca="1">IF(AND('Mapa final'!$AB$24="Alta",'Mapa final'!$AD$24="Moderado"),CONCATENATE("R3C",'Mapa final'!$R$24),"")</f>
        <v/>
      </c>
      <c r="X18" s="52" t="str">
        <f ca="1">IF(AND('Mapa final'!$AB$25="Alta",'Mapa final'!$AD$25="Moderado"),CONCATENATE("R3C",'Mapa final'!$R$25),"")</f>
        <v/>
      </c>
      <c r="Y18" s="52" t="str">
        <f ca="1">IF(AND('Mapa final'!$AB$26="Alta",'Mapa final'!$AD$26="Moderado"),CONCATENATE("R3C",'Mapa final'!$R$26),"")</f>
        <v/>
      </c>
      <c r="Z18" s="52" t="str">
        <f ca="1">IF(AND('Mapa final'!$AB$27="Alta",'Mapa final'!$AD$27="Moderado"),CONCATENATE("R3C",'Mapa final'!$R$27),"")</f>
        <v/>
      </c>
      <c r="AA18" s="53" t="str">
        <f>IF(AND('Mapa final'!$AB$28="Alta",'Mapa final'!$AD$28="Moderado"),CONCATENATE("R3C",'Mapa final'!$R$28),"")</f>
        <v/>
      </c>
      <c r="AB18" s="51" t="str">
        <f ca="1">IF(AND('Mapa final'!$AB$23="Alta",'Mapa final'!$AD$23="Mayor"),CONCATENATE("R3C",'Mapa final'!$R$23),"")</f>
        <v/>
      </c>
      <c r="AC18" s="52" t="str">
        <f ca="1">IF(AND('Mapa final'!$AB$24="Alta",'Mapa final'!$AD$24="Mayor"),CONCATENATE("R3C",'Mapa final'!$R$24),"")</f>
        <v/>
      </c>
      <c r="AD18" s="52" t="str">
        <f ca="1">IF(AND('Mapa final'!$AB$25="Alta",'Mapa final'!$AD$25="Mayor"),CONCATENATE("R3C",'Mapa final'!$R$25),"")</f>
        <v/>
      </c>
      <c r="AE18" s="52" t="str">
        <f ca="1">IF(AND('Mapa final'!$AB$26="Alta",'Mapa final'!$AD$26="Mayor"),CONCATENATE("R3C",'Mapa final'!$R$26),"")</f>
        <v/>
      </c>
      <c r="AF18" s="52" t="str">
        <f ca="1">IF(AND('Mapa final'!$AB$27="Alta",'Mapa final'!$AD$27="Mayor"),CONCATENATE("R3C",'Mapa final'!$R$27),"")</f>
        <v/>
      </c>
      <c r="AG18" s="53" t="str">
        <f>IF(AND('Mapa final'!$AB$28="Alta",'Mapa final'!$AD$28="Mayor"),CONCATENATE("R3C",'Mapa final'!$R$28),"")</f>
        <v/>
      </c>
      <c r="AH18" s="54" t="str">
        <f ca="1">IF(AND('Mapa final'!$AB$23="Alta",'Mapa final'!$AD$23="Catastrófico"),CONCATENATE("R3C",'Mapa final'!$R$23),"")</f>
        <v/>
      </c>
      <c r="AI18" s="55" t="str">
        <f ca="1">IF(AND('Mapa final'!$AB$24="Alta",'Mapa final'!$AD$24="Catastrófico"),CONCATENATE("R3C",'Mapa final'!$R$24),"")</f>
        <v/>
      </c>
      <c r="AJ18" s="55" t="str">
        <f ca="1">IF(AND('Mapa final'!$AB$25="Alta",'Mapa final'!$AD$25="Catastrófico"),CONCATENATE("R3C",'Mapa final'!$R$25),"")</f>
        <v/>
      </c>
      <c r="AK18" s="55" t="str">
        <f ca="1">IF(AND('Mapa final'!$AB$26="Alta",'Mapa final'!$AD$26="Catastrófico"),CONCATENATE("R3C",'Mapa final'!$R$26),"")</f>
        <v/>
      </c>
      <c r="AL18" s="55" t="str">
        <f ca="1">IF(AND('Mapa final'!$AB$27="Alta",'Mapa final'!$AD$27="Catastrófico"),CONCATENATE("R3C",'Mapa final'!$R$27),"")</f>
        <v/>
      </c>
      <c r="AM18" s="56" t="str">
        <f>IF(AND('Mapa final'!$AB$28="Alta",'Mapa final'!$AD$28="Catastrófico"),CONCATENATE("R3C",'Mapa final'!$R$28),"")</f>
        <v/>
      </c>
      <c r="AN18" s="83"/>
      <c r="AO18" s="375"/>
      <c r="AP18" s="376"/>
      <c r="AQ18" s="376"/>
      <c r="AR18" s="376"/>
      <c r="AS18" s="376"/>
      <c r="AT18" s="37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84"/>
      <c r="C19" s="284"/>
      <c r="D19" s="285"/>
      <c r="E19" s="385"/>
      <c r="F19" s="386"/>
      <c r="G19" s="386"/>
      <c r="H19" s="386"/>
      <c r="I19" s="384"/>
      <c r="J19" s="67" t="str">
        <f ca="1">IF(AND('Mapa final'!$AB$29="Alta",'Mapa final'!$AD$29="Leve"),CONCATENATE("R4C",'Mapa final'!$R$29),"")</f>
        <v/>
      </c>
      <c r="K19" s="68" t="str">
        <f ca="1">IF(AND('Mapa final'!$AB$30="Alta",'Mapa final'!$AD$30="Leve"),CONCATENATE("R4C",'Mapa final'!$R$30),"")</f>
        <v/>
      </c>
      <c r="L19" s="68" t="str">
        <f ca="1">IF(AND('Mapa final'!$AB$31="Alta",'Mapa final'!$AD$31="Leve"),CONCATENATE("R4C",'Mapa final'!$R$31),"")</f>
        <v/>
      </c>
      <c r="M19" s="68" t="str">
        <f ca="1">IF(AND('Mapa final'!$AB$32="Alta",'Mapa final'!$AD$32="Leve"),CONCATENATE("R4C",'Mapa final'!$R$32),"")</f>
        <v/>
      </c>
      <c r="N19" s="68" t="str">
        <f>IF(AND('Mapa final'!$AB$33="Alta",'Mapa final'!$AD$33="Leve"),CONCATENATE("R4C",'Mapa final'!$R$33),"")</f>
        <v/>
      </c>
      <c r="O19" s="69" t="str">
        <f>IF(AND('Mapa final'!$AB$34="Alta",'Mapa final'!$AD$34="Leve"),CONCATENATE("R4C",'Mapa final'!$R$34),"")</f>
        <v/>
      </c>
      <c r="P19" s="67" t="str">
        <f ca="1">IF(AND('Mapa final'!$AB$29="Alta",'Mapa final'!$AD$29="Menor"),CONCATENATE("R4C",'Mapa final'!$R$29),"")</f>
        <v/>
      </c>
      <c r="Q19" s="68" t="str">
        <f ca="1">IF(AND('Mapa final'!$AB$30="Alta",'Mapa final'!$AD$30="Menor"),CONCATENATE("R4C",'Mapa final'!$R$30),"")</f>
        <v/>
      </c>
      <c r="R19" s="68" t="str">
        <f ca="1">IF(AND('Mapa final'!$AB$31="Alta",'Mapa final'!$AD$31="Menor"),CONCATENATE("R4C",'Mapa final'!$R$31),"")</f>
        <v/>
      </c>
      <c r="S19" s="68" t="str">
        <f ca="1">IF(AND('Mapa final'!$AB$32="Alta",'Mapa final'!$AD$32="Menor"),CONCATENATE("R4C",'Mapa final'!$R$32),"")</f>
        <v/>
      </c>
      <c r="T19" s="68" t="str">
        <f>IF(AND('Mapa final'!$AB$33="Alta",'Mapa final'!$AD$33="Menor"),CONCATENATE("R4C",'Mapa final'!$R$33),"")</f>
        <v/>
      </c>
      <c r="U19" s="69" t="str">
        <f>IF(AND('Mapa final'!$AB$34="Alta",'Mapa final'!$AD$34="Menor"),CONCATENATE("R4C",'Mapa final'!$R$34),"")</f>
        <v/>
      </c>
      <c r="V19" s="51" t="str">
        <f ca="1">IF(AND('Mapa final'!$AB$29="Alta",'Mapa final'!$AD$29="Moderado"),CONCATENATE("R4C",'Mapa final'!$R$29),"")</f>
        <v/>
      </c>
      <c r="W19" s="52" t="str">
        <f ca="1">IF(AND('Mapa final'!$AB$30="Alta",'Mapa final'!$AD$30="Moderado"),CONCATENATE("R4C",'Mapa final'!$R$30),"")</f>
        <v/>
      </c>
      <c r="X19" s="57" t="str">
        <f ca="1">IF(AND('Mapa final'!$AB$31="Alta",'Mapa final'!$AD$31="Moderado"),CONCATENATE("R4C",'Mapa final'!$R$31),"")</f>
        <v/>
      </c>
      <c r="Y19" s="57" t="str">
        <f ca="1">IF(AND('Mapa final'!$AB$32="Alta",'Mapa final'!$AD$32="Moderado"),CONCATENATE("R4C",'Mapa final'!$R$32),"")</f>
        <v/>
      </c>
      <c r="Z19" s="57" t="str">
        <f>IF(AND('Mapa final'!$AB$33="Alta",'Mapa final'!$AD$33="Moderado"),CONCATENATE("R4C",'Mapa final'!$R$33),"")</f>
        <v/>
      </c>
      <c r="AA19" s="53" t="str">
        <f>IF(AND('Mapa final'!$AB$34="Alta",'Mapa final'!$AD$34="Moderado"),CONCATENATE("R4C",'Mapa final'!$R$34),"")</f>
        <v/>
      </c>
      <c r="AB19" s="51" t="str">
        <f ca="1">IF(AND('Mapa final'!$AB$29="Alta",'Mapa final'!$AD$29="Mayor"),CONCATENATE("R4C",'Mapa final'!$R$29),"")</f>
        <v/>
      </c>
      <c r="AC19" s="52" t="str">
        <f ca="1">IF(AND('Mapa final'!$AB$30="Alta",'Mapa final'!$AD$30="Mayor"),CONCATENATE("R4C",'Mapa final'!$R$30),"")</f>
        <v/>
      </c>
      <c r="AD19" s="57" t="str">
        <f ca="1">IF(AND('Mapa final'!$AB$31="Alta",'Mapa final'!$AD$31="Mayor"),CONCATENATE("R4C",'Mapa final'!$R$31),"")</f>
        <v/>
      </c>
      <c r="AE19" s="57" t="str">
        <f ca="1">IF(AND('Mapa final'!$AB$32="Alta",'Mapa final'!$AD$32="Mayor"),CONCATENATE("R4C",'Mapa final'!$R$32),"")</f>
        <v/>
      </c>
      <c r="AF19" s="57" t="str">
        <f>IF(AND('Mapa final'!$AB$33="Alta",'Mapa final'!$AD$33="Mayor"),CONCATENATE("R4C",'Mapa final'!$R$33),"")</f>
        <v/>
      </c>
      <c r="AG19" s="53" t="str">
        <f>IF(AND('Mapa final'!$AB$34="Alta",'Mapa final'!$AD$34="Mayor"),CONCATENATE("R4C",'Mapa final'!$R$34),"")</f>
        <v/>
      </c>
      <c r="AH19" s="54" t="str">
        <f ca="1">IF(AND('Mapa final'!$AB$29="Alta",'Mapa final'!$AD$29="Catastrófico"),CONCATENATE("R4C",'Mapa final'!$R$29),"")</f>
        <v/>
      </c>
      <c r="AI19" s="55" t="str">
        <f ca="1">IF(AND('Mapa final'!$AB$30="Alta",'Mapa final'!$AD$30="Catastrófico"),CONCATENATE("R4C",'Mapa final'!$R$30),"")</f>
        <v/>
      </c>
      <c r="AJ19" s="55" t="str">
        <f ca="1">IF(AND('Mapa final'!$AB$31="Alta",'Mapa final'!$AD$31="Catastrófico"),CONCATENATE("R4C",'Mapa final'!$R$31),"")</f>
        <v/>
      </c>
      <c r="AK19" s="55" t="str">
        <f ca="1">IF(AND('Mapa final'!$AB$32="Alta",'Mapa final'!$AD$32="Catastrófico"),CONCATENATE("R4C",'Mapa final'!$R$32),"")</f>
        <v/>
      </c>
      <c r="AL19" s="55" t="str">
        <f>IF(AND('Mapa final'!$AB$33="Alta",'Mapa final'!$AD$33="Catastrófico"),CONCATENATE("R4C",'Mapa final'!$R$33),"")</f>
        <v/>
      </c>
      <c r="AM19" s="56" t="str">
        <f>IF(AND('Mapa final'!$AB$34="Alta",'Mapa final'!$AD$34="Catastrófico"),CONCATENATE("R4C",'Mapa final'!$R$34),"")</f>
        <v/>
      </c>
      <c r="AN19" s="83"/>
      <c r="AO19" s="375"/>
      <c r="AP19" s="376"/>
      <c r="AQ19" s="376"/>
      <c r="AR19" s="376"/>
      <c r="AS19" s="376"/>
      <c r="AT19" s="37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84"/>
      <c r="C20" s="284"/>
      <c r="D20" s="285"/>
      <c r="E20" s="385"/>
      <c r="F20" s="386"/>
      <c r="G20" s="386"/>
      <c r="H20" s="386"/>
      <c r="I20" s="384"/>
      <c r="J20" s="67" t="str">
        <f ca="1">IF(AND('Mapa final'!$AB$41="Alta",'Mapa final'!$AD$41="Leve"),CONCATENATE("R5C",'Mapa final'!$R$41),"")</f>
        <v/>
      </c>
      <c r="K20" s="68" t="str">
        <f ca="1">IF(AND('Mapa final'!$AB$42="Alta",'Mapa final'!$AD$42="Leve"),CONCATENATE("R5C",'Mapa final'!$R$42),"")</f>
        <v/>
      </c>
      <c r="L20" s="68" t="str">
        <f ca="1">IF(AND('Mapa final'!$AB$43="Alta",'Mapa final'!$AD$43="Leve"),CONCATENATE("R5C",'Mapa final'!$R$43),"")</f>
        <v/>
      </c>
      <c r="M20" s="68" t="str">
        <f ca="1">IF(AND('Mapa final'!$AB$44="Alta",'Mapa final'!$AD$44="Leve"),CONCATENATE("R5C",'Mapa final'!$R$44),"")</f>
        <v/>
      </c>
      <c r="N20" s="68" t="str">
        <f>IF(AND('Mapa final'!$AB$45="Alta",'Mapa final'!$AD$45="Leve"),CONCATENATE("R5C",'Mapa final'!$R$45),"")</f>
        <v/>
      </c>
      <c r="O20" s="69" t="str">
        <f>IF(AND('Mapa final'!$AB$46="Alta",'Mapa final'!$AD$46="Leve"),CONCATENATE("R5C",'Mapa final'!$R$46),"")</f>
        <v/>
      </c>
      <c r="P20" s="67" t="str">
        <f ca="1">IF(AND('Mapa final'!$AB$41="Alta",'Mapa final'!$AD$41="Menor"),CONCATENATE("R5C",'Mapa final'!$R$41),"")</f>
        <v/>
      </c>
      <c r="Q20" s="68" t="str">
        <f ca="1">IF(AND('Mapa final'!$AB$42="Alta",'Mapa final'!$AD$42="Menor"),CONCATENATE("R5C",'Mapa final'!$R$42),"")</f>
        <v/>
      </c>
      <c r="R20" s="68" t="str">
        <f ca="1">IF(AND('Mapa final'!$AB$43="Alta",'Mapa final'!$AD$43="Menor"),CONCATENATE("R5C",'Mapa final'!$R$43),"")</f>
        <v/>
      </c>
      <c r="S20" s="68" t="str">
        <f ca="1">IF(AND('Mapa final'!$AB$44="Alta",'Mapa final'!$AD$44="Menor"),CONCATENATE("R5C",'Mapa final'!$R$44),"")</f>
        <v/>
      </c>
      <c r="T20" s="68" t="str">
        <f>IF(AND('Mapa final'!$AB$45="Alta",'Mapa final'!$AD$45="Menor"),CONCATENATE("R5C",'Mapa final'!$R$45),"")</f>
        <v/>
      </c>
      <c r="U20" s="69" t="str">
        <f>IF(AND('Mapa final'!$AB$46="Alta",'Mapa final'!$AD$46="Menor"),CONCATENATE("R5C",'Mapa final'!$R$46),"")</f>
        <v/>
      </c>
      <c r="V20" s="51" t="str">
        <f ca="1">IF(AND('Mapa final'!$AB$41="Alta",'Mapa final'!$AD$41="Moderado"),CONCATENATE("R5C",'Mapa final'!$R$41),"")</f>
        <v/>
      </c>
      <c r="W20" s="52" t="str">
        <f ca="1">IF(AND('Mapa final'!$AB$42="Alta",'Mapa final'!$AD$42="Moderado"),CONCATENATE("R5C",'Mapa final'!$R$42),"")</f>
        <v/>
      </c>
      <c r="X20" s="57" t="str">
        <f ca="1">IF(AND('Mapa final'!$AB$43="Alta",'Mapa final'!$AD$43="Moderado"),CONCATENATE("R5C",'Mapa final'!$R$43),"")</f>
        <v/>
      </c>
      <c r="Y20" s="57" t="str">
        <f ca="1">IF(AND('Mapa final'!$AB$44="Alta",'Mapa final'!$AD$44="Moderado"),CONCATENATE("R5C",'Mapa final'!$R$44),"")</f>
        <v/>
      </c>
      <c r="Z20" s="57" t="str">
        <f>IF(AND('Mapa final'!$AB$45="Alta",'Mapa final'!$AD$45="Moderado"),CONCATENATE("R5C",'Mapa final'!$R$45),"")</f>
        <v/>
      </c>
      <c r="AA20" s="53" t="str">
        <f>IF(AND('Mapa final'!$AB$46="Alta",'Mapa final'!$AD$46="Moderado"),CONCATENATE("R5C",'Mapa final'!$R$46),"")</f>
        <v/>
      </c>
      <c r="AB20" s="51" t="str">
        <f ca="1">IF(AND('Mapa final'!$AB$41="Alta",'Mapa final'!$AD$41="Mayor"),CONCATENATE("R5C",'Mapa final'!$R$41),"")</f>
        <v/>
      </c>
      <c r="AC20" s="52" t="str">
        <f ca="1">IF(AND('Mapa final'!$AB$42="Alta",'Mapa final'!$AD$42="Mayor"),CONCATENATE("R5C",'Mapa final'!$R$42),"")</f>
        <v/>
      </c>
      <c r="AD20" s="57" t="str">
        <f ca="1">IF(AND('Mapa final'!$AB$43="Alta",'Mapa final'!$AD$43="Mayor"),CONCATENATE("R5C",'Mapa final'!$R$43),"")</f>
        <v/>
      </c>
      <c r="AE20" s="57" t="str">
        <f ca="1">IF(AND('Mapa final'!$AB$44="Alta",'Mapa final'!$AD$44="Mayor"),CONCATENATE("R5C",'Mapa final'!$R$44),"")</f>
        <v/>
      </c>
      <c r="AF20" s="57" t="str">
        <f>IF(AND('Mapa final'!$AB$45="Alta",'Mapa final'!$AD$45="Mayor"),CONCATENATE("R5C",'Mapa final'!$R$45),"")</f>
        <v/>
      </c>
      <c r="AG20" s="53" t="str">
        <f>IF(AND('Mapa final'!$AB$46="Alta",'Mapa final'!$AD$46="Mayor"),CONCATENATE("R5C",'Mapa final'!$R$46),"")</f>
        <v/>
      </c>
      <c r="AH20" s="54" t="str">
        <f ca="1">IF(AND('Mapa final'!$AB$41="Alta",'Mapa final'!$AD$41="Catastrófico"),CONCATENATE("R5C",'Mapa final'!$R$41),"")</f>
        <v/>
      </c>
      <c r="AI20" s="55" t="str">
        <f ca="1">IF(AND('Mapa final'!$AB$42="Alta",'Mapa final'!$AD$42="Catastrófico"),CONCATENATE("R5C",'Mapa final'!$R$42),"")</f>
        <v/>
      </c>
      <c r="AJ20" s="55" t="str">
        <f ca="1">IF(AND('Mapa final'!$AB$43="Alta",'Mapa final'!$AD$43="Catastrófico"),CONCATENATE("R5C",'Mapa final'!$R$43),"")</f>
        <v/>
      </c>
      <c r="AK20" s="55" t="str">
        <f ca="1">IF(AND('Mapa final'!$AB$44="Alta",'Mapa final'!$AD$44="Catastrófico"),CONCATENATE("R5C",'Mapa final'!$R$44),"")</f>
        <v/>
      </c>
      <c r="AL20" s="55" t="str">
        <f>IF(AND('Mapa final'!$AB$45="Alta",'Mapa final'!$AD$45="Catastrófico"),CONCATENATE("R5C",'Mapa final'!$R$45),"")</f>
        <v/>
      </c>
      <c r="AM20" s="56" t="str">
        <f>IF(AND('Mapa final'!$AB$46="Alta",'Mapa final'!$AD$46="Catastrófico"),CONCATENATE("R5C",'Mapa final'!$R$46),"")</f>
        <v/>
      </c>
      <c r="AN20" s="83"/>
      <c r="AO20" s="375"/>
      <c r="AP20" s="376"/>
      <c r="AQ20" s="376"/>
      <c r="AR20" s="376"/>
      <c r="AS20" s="376"/>
      <c r="AT20" s="37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84"/>
      <c r="C21" s="284"/>
      <c r="D21" s="285"/>
      <c r="E21" s="385"/>
      <c r="F21" s="386"/>
      <c r="G21" s="386"/>
      <c r="H21" s="386"/>
      <c r="I21" s="384"/>
      <c r="J21" s="67" t="e">
        <f>IF(AND('Mapa final'!#REF!="Alta",'Mapa final'!#REF!="Leve"),CONCATENATE("R6C",'Mapa final'!#REF!),"")</f>
        <v>#REF!</v>
      </c>
      <c r="K21" s="68" t="e">
        <f>IF(AND('Mapa final'!#REF!="Alta",'Mapa final'!#REF!="Leve"),CONCATENATE("R6C",'Mapa final'!#REF!),"")</f>
        <v>#REF!</v>
      </c>
      <c r="L21" s="68" t="e">
        <f>IF(AND('Mapa final'!#REF!="Alta",'Mapa final'!#REF!="Leve"),CONCATENATE("R6C",'Mapa final'!#REF!),"")</f>
        <v>#REF!</v>
      </c>
      <c r="M21" s="68" t="e">
        <f>IF(AND('Mapa final'!#REF!="Alta",'Mapa final'!#REF!="Leve"),CONCATENATE("R6C",'Mapa final'!#REF!),"")</f>
        <v>#REF!</v>
      </c>
      <c r="N21" s="68" t="e">
        <f>IF(AND('Mapa final'!#REF!="Alta",'Mapa final'!#REF!="Leve"),CONCATENATE("R6C",'Mapa final'!#REF!),"")</f>
        <v>#REF!</v>
      </c>
      <c r="O21" s="69" t="e">
        <f>IF(AND('Mapa final'!#REF!="Alta",'Mapa final'!#REF!="Leve"),CONCATENATE("R6C",'Mapa final'!#REF!),"")</f>
        <v>#REF!</v>
      </c>
      <c r="P21" s="67" t="e">
        <f>IF(AND('Mapa final'!#REF!="Alta",'Mapa final'!#REF!="Menor"),CONCATENATE("R6C",'Mapa final'!#REF!),"")</f>
        <v>#REF!</v>
      </c>
      <c r="Q21" s="68" t="e">
        <f>IF(AND('Mapa final'!#REF!="Alta",'Mapa final'!#REF!="Menor"),CONCATENATE("R6C",'Mapa final'!#REF!),"")</f>
        <v>#REF!</v>
      </c>
      <c r="R21" s="68" t="e">
        <f>IF(AND('Mapa final'!#REF!="Alta",'Mapa final'!#REF!="Menor"),CONCATENATE("R6C",'Mapa final'!#REF!),"")</f>
        <v>#REF!</v>
      </c>
      <c r="S21" s="68" t="e">
        <f>IF(AND('Mapa final'!#REF!="Alta",'Mapa final'!#REF!="Menor"),CONCATENATE("R6C",'Mapa final'!#REF!),"")</f>
        <v>#REF!</v>
      </c>
      <c r="T21" s="68" t="e">
        <f>IF(AND('Mapa final'!#REF!="Alta",'Mapa final'!#REF!="Menor"),CONCATENATE("R6C",'Mapa final'!#REF!),"")</f>
        <v>#REF!</v>
      </c>
      <c r="U21" s="69" t="e">
        <f>IF(AND('Mapa final'!#REF!="Alta",'Mapa final'!#REF!="Menor"),CONCATENATE("R6C",'Mapa final'!#REF!),"")</f>
        <v>#REF!</v>
      </c>
      <c r="V21" s="51" t="e">
        <f>IF(AND('Mapa final'!#REF!="Alta",'Mapa final'!#REF!="Moderado"),CONCATENATE("R6C",'Mapa final'!#REF!),"")</f>
        <v>#REF!</v>
      </c>
      <c r="W21" s="52" t="e">
        <f>IF(AND('Mapa final'!#REF!="Alta",'Mapa final'!#REF!="Moderado"),CONCATENATE("R6C",'Mapa final'!#REF!),"")</f>
        <v>#REF!</v>
      </c>
      <c r="X21" s="57" t="e">
        <f>IF(AND('Mapa final'!#REF!="Alta",'Mapa final'!#REF!="Moderado"),CONCATENATE("R6C",'Mapa final'!#REF!),"")</f>
        <v>#REF!</v>
      </c>
      <c r="Y21" s="57" t="e">
        <f>IF(AND('Mapa final'!#REF!="Alta",'Mapa final'!#REF!="Moderado"),CONCATENATE("R6C",'Mapa final'!#REF!),"")</f>
        <v>#REF!</v>
      </c>
      <c r="Z21" s="57" t="e">
        <f>IF(AND('Mapa final'!#REF!="Alta",'Mapa final'!#REF!="Moderado"),CONCATENATE("R6C",'Mapa final'!#REF!),"")</f>
        <v>#REF!</v>
      </c>
      <c r="AA21" s="53" t="e">
        <f>IF(AND('Mapa final'!#REF!="Alta",'Mapa final'!#REF!="Moderado"),CONCATENATE("R6C",'Mapa final'!#REF!),"")</f>
        <v>#REF!</v>
      </c>
      <c r="AB21" s="51" t="e">
        <f>IF(AND('Mapa final'!#REF!="Alta",'Mapa final'!#REF!="Mayor"),CONCATENATE("R6C",'Mapa final'!#REF!),"")</f>
        <v>#REF!</v>
      </c>
      <c r="AC21" s="52" t="e">
        <f>IF(AND('Mapa final'!#REF!="Alta",'Mapa final'!#REF!="Mayor"),CONCATENATE("R6C",'Mapa final'!#REF!),"")</f>
        <v>#REF!</v>
      </c>
      <c r="AD21" s="57" t="e">
        <f>IF(AND('Mapa final'!#REF!="Alta",'Mapa final'!#REF!="Mayor"),CONCATENATE("R6C",'Mapa final'!#REF!),"")</f>
        <v>#REF!</v>
      </c>
      <c r="AE21" s="57" t="e">
        <f>IF(AND('Mapa final'!#REF!="Alta",'Mapa final'!#REF!="Mayor"),CONCATENATE("R6C",'Mapa final'!#REF!),"")</f>
        <v>#REF!</v>
      </c>
      <c r="AF21" s="57" t="e">
        <f>IF(AND('Mapa final'!#REF!="Alta",'Mapa final'!#REF!="Mayor"),CONCATENATE("R6C",'Mapa final'!#REF!),"")</f>
        <v>#REF!</v>
      </c>
      <c r="AG21" s="53" t="e">
        <f>IF(AND('Mapa final'!#REF!="Alta",'Mapa final'!#REF!="Mayor"),CONCATENATE("R6C",'Mapa final'!#REF!),"")</f>
        <v>#REF!</v>
      </c>
      <c r="AH21" s="54" t="e">
        <f>IF(AND('Mapa final'!#REF!="Alta",'Mapa final'!#REF!="Catastrófico"),CONCATENATE("R6C",'Mapa final'!#REF!),"")</f>
        <v>#REF!</v>
      </c>
      <c r="AI21" s="55" t="e">
        <f>IF(AND('Mapa final'!#REF!="Alta",'Mapa final'!#REF!="Catastrófico"),CONCATENATE("R6C",'Mapa final'!#REF!),"")</f>
        <v>#REF!</v>
      </c>
      <c r="AJ21" s="55" t="e">
        <f>IF(AND('Mapa final'!#REF!="Alta",'Mapa final'!#REF!="Catastrófico"),CONCATENATE("R6C",'Mapa final'!#REF!),"")</f>
        <v>#REF!</v>
      </c>
      <c r="AK21" s="55" t="e">
        <f>IF(AND('Mapa final'!#REF!="Alta",'Mapa final'!#REF!="Catastrófico"),CONCATENATE("R6C",'Mapa final'!#REF!),"")</f>
        <v>#REF!</v>
      </c>
      <c r="AL21" s="55" t="e">
        <f>IF(AND('Mapa final'!#REF!="Alta",'Mapa final'!#REF!="Catastrófico"),CONCATENATE("R6C",'Mapa final'!#REF!),"")</f>
        <v>#REF!</v>
      </c>
      <c r="AM21" s="56" t="e">
        <f>IF(AND('Mapa final'!#REF!="Alta",'Mapa final'!#REF!="Catastrófico"),CONCATENATE("R6C",'Mapa final'!#REF!),"")</f>
        <v>#REF!</v>
      </c>
      <c r="AN21" s="83"/>
      <c r="AO21" s="375"/>
      <c r="AP21" s="376"/>
      <c r="AQ21" s="376"/>
      <c r="AR21" s="376"/>
      <c r="AS21" s="376"/>
      <c r="AT21" s="37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84"/>
      <c r="C22" s="284"/>
      <c r="D22" s="285"/>
      <c r="E22" s="385"/>
      <c r="F22" s="386"/>
      <c r="G22" s="386"/>
      <c r="H22" s="386"/>
      <c r="I22" s="384"/>
      <c r="J22" s="67" t="e">
        <f>IF(AND('Mapa final'!#REF!="Alta",'Mapa final'!#REF!="Leve"),CONCATENATE("R7C",'Mapa final'!#REF!),"")</f>
        <v>#REF!</v>
      </c>
      <c r="K22" s="68" t="e">
        <f>IF(AND('Mapa final'!#REF!="Alta",'Mapa final'!#REF!="Leve"),CONCATENATE("R7C",'Mapa final'!#REF!),"")</f>
        <v>#REF!</v>
      </c>
      <c r="L22" s="68" t="e">
        <f>IF(AND('Mapa final'!#REF!="Alta",'Mapa final'!#REF!="Leve"),CONCATENATE("R7C",'Mapa final'!#REF!),"")</f>
        <v>#REF!</v>
      </c>
      <c r="M22" s="68" t="e">
        <f>IF(AND('Mapa final'!#REF!="Alta",'Mapa final'!#REF!="Leve"),CONCATENATE("R7C",'Mapa final'!#REF!),"")</f>
        <v>#REF!</v>
      </c>
      <c r="N22" s="68" t="e">
        <f>IF(AND('Mapa final'!#REF!="Alta",'Mapa final'!#REF!="Leve"),CONCATENATE("R7C",'Mapa final'!#REF!),"")</f>
        <v>#REF!</v>
      </c>
      <c r="O22" s="69" t="e">
        <f>IF(AND('Mapa final'!#REF!="Alta",'Mapa final'!#REF!="Leve"),CONCATENATE("R7C",'Mapa final'!#REF!),"")</f>
        <v>#REF!</v>
      </c>
      <c r="P22" s="67" t="e">
        <f>IF(AND('Mapa final'!#REF!="Alta",'Mapa final'!#REF!="Menor"),CONCATENATE("R7C",'Mapa final'!#REF!),"")</f>
        <v>#REF!</v>
      </c>
      <c r="Q22" s="68" t="e">
        <f>IF(AND('Mapa final'!#REF!="Alta",'Mapa final'!#REF!="Menor"),CONCATENATE("R7C",'Mapa final'!#REF!),"")</f>
        <v>#REF!</v>
      </c>
      <c r="R22" s="68" t="e">
        <f>IF(AND('Mapa final'!#REF!="Alta",'Mapa final'!#REF!="Menor"),CONCATENATE("R7C",'Mapa final'!#REF!),"")</f>
        <v>#REF!</v>
      </c>
      <c r="S22" s="68" t="e">
        <f>IF(AND('Mapa final'!#REF!="Alta",'Mapa final'!#REF!="Menor"),CONCATENATE("R7C",'Mapa final'!#REF!),"")</f>
        <v>#REF!</v>
      </c>
      <c r="T22" s="68" t="e">
        <f>IF(AND('Mapa final'!#REF!="Alta",'Mapa final'!#REF!="Menor"),CONCATENATE("R7C",'Mapa final'!#REF!),"")</f>
        <v>#REF!</v>
      </c>
      <c r="U22" s="69" t="e">
        <f>IF(AND('Mapa final'!#REF!="Alta",'Mapa final'!#REF!="Menor"),CONCATENATE("R7C",'Mapa final'!#REF!),"")</f>
        <v>#REF!</v>
      </c>
      <c r="V22" s="51" t="e">
        <f>IF(AND('Mapa final'!#REF!="Alta",'Mapa final'!#REF!="Moderado"),CONCATENATE("R7C",'Mapa final'!#REF!),"")</f>
        <v>#REF!</v>
      </c>
      <c r="W22" s="52" t="e">
        <f>IF(AND('Mapa final'!#REF!="Alta",'Mapa final'!#REF!="Moderado"),CONCATENATE("R7C",'Mapa final'!#REF!),"")</f>
        <v>#REF!</v>
      </c>
      <c r="X22" s="57" t="e">
        <f>IF(AND('Mapa final'!#REF!="Alta",'Mapa final'!#REF!="Moderado"),CONCATENATE("R7C",'Mapa final'!#REF!),"")</f>
        <v>#REF!</v>
      </c>
      <c r="Y22" s="57" t="e">
        <f>IF(AND('Mapa final'!#REF!="Alta",'Mapa final'!#REF!="Moderado"),CONCATENATE("R7C",'Mapa final'!#REF!),"")</f>
        <v>#REF!</v>
      </c>
      <c r="Z22" s="57" t="e">
        <f>IF(AND('Mapa final'!#REF!="Alta",'Mapa final'!#REF!="Moderado"),CONCATENATE("R7C",'Mapa final'!#REF!),"")</f>
        <v>#REF!</v>
      </c>
      <c r="AA22" s="53" t="e">
        <f>IF(AND('Mapa final'!#REF!="Alta",'Mapa final'!#REF!="Moderado"),CONCATENATE("R7C",'Mapa final'!#REF!),"")</f>
        <v>#REF!</v>
      </c>
      <c r="AB22" s="51" t="e">
        <f>IF(AND('Mapa final'!#REF!="Alta",'Mapa final'!#REF!="Mayor"),CONCATENATE("R7C",'Mapa final'!#REF!),"")</f>
        <v>#REF!</v>
      </c>
      <c r="AC22" s="52" t="e">
        <f>IF(AND('Mapa final'!#REF!="Alta",'Mapa final'!#REF!="Mayor"),CONCATENATE("R7C",'Mapa final'!#REF!),"")</f>
        <v>#REF!</v>
      </c>
      <c r="AD22" s="57" t="e">
        <f>IF(AND('Mapa final'!#REF!="Alta",'Mapa final'!#REF!="Mayor"),CONCATENATE("R7C",'Mapa final'!#REF!),"")</f>
        <v>#REF!</v>
      </c>
      <c r="AE22" s="57" t="e">
        <f>IF(AND('Mapa final'!#REF!="Alta",'Mapa final'!#REF!="Mayor"),CONCATENATE("R7C",'Mapa final'!#REF!),"")</f>
        <v>#REF!</v>
      </c>
      <c r="AF22" s="57" t="e">
        <f>IF(AND('Mapa final'!#REF!="Alta",'Mapa final'!#REF!="Mayor"),CONCATENATE("R7C",'Mapa final'!#REF!),"")</f>
        <v>#REF!</v>
      </c>
      <c r="AG22" s="53" t="e">
        <f>IF(AND('Mapa final'!#REF!="Alta",'Mapa final'!#REF!="Mayor"),CONCATENATE("R7C",'Mapa final'!#REF!),"")</f>
        <v>#REF!</v>
      </c>
      <c r="AH22" s="54" t="e">
        <f>IF(AND('Mapa final'!#REF!="Alta",'Mapa final'!#REF!="Catastrófico"),CONCATENATE("R7C",'Mapa final'!#REF!),"")</f>
        <v>#REF!</v>
      </c>
      <c r="AI22" s="55" t="e">
        <f>IF(AND('Mapa final'!#REF!="Alta",'Mapa final'!#REF!="Catastrófico"),CONCATENATE("R7C",'Mapa final'!#REF!),"")</f>
        <v>#REF!</v>
      </c>
      <c r="AJ22" s="55" t="e">
        <f>IF(AND('Mapa final'!#REF!="Alta",'Mapa final'!#REF!="Catastrófico"),CONCATENATE("R7C",'Mapa final'!#REF!),"")</f>
        <v>#REF!</v>
      </c>
      <c r="AK22" s="55" t="e">
        <f>IF(AND('Mapa final'!#REF!="Alta",'Mapa final'!#REF!="Catastrófico"),CONCATENATE("R7C",'Mapa final'!#REF!),"")</f>
        <v>#REF!</v>
      </c>
      <c r="AL22" s="55" t="e">
        <f>IF(AND('Mapa final'!#REF!="Alta",'Mapa final'!#REF!="Catastrófico"),CONCATENATE("R7C",'Mapa final'!#REF!),"")</f>
        <v>#REF!</v>
      </c>
      <c r="AM22" s="56" t="e">
        <f>IF(AND('Mapa final'!#REF!="Alta",'Mapa final'!#REF!="Catastrófico"),CONCATENATE("R7C",'Mapa final'!#REF!),"")</f>
        <v>#REF!</v>
      </c>
      <c r="AN22" s="83"/>
      <c r="AO22" s="375"/>
      <c r="AP22" s="376"/>
      <c r="AQ22" s="376"/>
      <c r="AR22" s="376"/>
      <c r="AS22" s="376"/>
      <c r="AT22" s="37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84"/>
      <c r="C23" s="284"/>
      <c r="D23" s="285"/>
      <c r="E23" s="385"/>
      <c r="F23" s="386"/>
      <c r="G23" s="386"/>
      <c r="H23" s="386"/>
      <c r="I23" s="384"/>
      <c r="J23" s="67" t="str">
        <f ca="1">IF(AND('Mapa final'!$AB$47="Alta",'Mapa final'!$AD$47="Leve"),CONCATENATE("R8C",'Mapa final'!$R$47),"")</f>
        <v/>
      </c>
      <c r="K23" s="68" t="str">
        <f>IF(AND('Mapa final'!$AB$48="Alta",'Mapa final'!$AD$48="Leve"),CONCATENATE("R8C",'Mapa final'!$R$48),"")</f>
        <v/>
      </c>
      <c r="L23" s="68" t="str">
        <f>IF(AND('Mapa final'!$AB$49="Alta",'Mapa final'!$AD$49="Leve"),CONCATENATE("R8C",'Mapa final'!$R$49),"")</f>
        <v/>
      </c>
      <c r="M23" s="68" t="str">
        <f>IF(AND('Mapa final'!$AB$50="Alta",'Mapa final'!$AD$50="Leve"),CONCATENATE("R8C",'Mapa final'!$R$50),"")</f>
        <v/>
      </c>
      <c r="N23" s="68" t="str">
        <f>IF(AND('Mapa final'!$AB$51="Alta",'Mapa final'!$AD$51="Leve"),CONCATENATE("R8C",'Mapa final'!$R$51),"")</f>
        <v/>
      </c>
      <c r="O23" s="69" t="str">
        <f>IF(AND('Mapa final'!$AB$52="Alta",'Mapa final'!$AD$52="Leve"),CONCATENATE("R8C",'Mapa final'!$R$52),"")</f>
        <v/>
      </c>
      <c r="P23" s="67" t="str">
        <f ca="1">IF(AND('Mapa final'!$AB$47="Alta",'Mapa final'!$AD$47="Menor"),CONCATENATE("R8C",'Mapa final'!$R$47),"")</f>
        <v/>
      </c>
      <c r="Q23" s="68" t="str">
        <f>IF(AND('Mapa final'!$AB$48="Alta",'Mapa final'!$AD$48="Menor"),CONCATENATE("R8C",'Mapa final'!$R$48),"")</f>
        <v/>
      </c>
      <c r="R23" s="68" t="str">
        <f>IF(AND('Mapa final'!$AB$49="Alta",'Mapa final'!$AD$49="Menor"),CONCATENATE("R8C",'Mapa final'!$R$49),"")</f>
        <v/>
      </c>
      <c r="S23" s="68" t="str">
        <f>IF(AND('Mapa final'!$AB$50="Alta",'Mapa final'!$AD$50="Menor"),CONCATENATE("R8C",'Mapa final'!$R$50),"")</f>
        <v/>
      </c>
      <c r="T23" s="68" t="str">
        <f>IF(AND('Mapa final'!$AB$51="Alta",'Mapa final'!$AD$51="Menor"),CONCATENATE("R8C",'Mapa final'!$R$51),"")</f>
        <v/>
      </c>
      <c r="U23" s="69" t="str">
        <f>IF(AND('Mapa final'!$AB$52="Alta",'Mapa final'!$AD$52="Menor"),CONCATENATE("R8C",'Mapa final'!$R$52),"")</f>
        <v/>
      </c>
      <c r="V23" s="51" t="str">
        <f ca="1">IF(AND('Mapa final'!$AB$47="Alta",'Mapa final'!$AD$47="Moderado"),CONCATENATE("R8C",'Mapa final'!$R$47),"")</f>
        <v/>
      </c>
      <c r="W23" s="52" t="str">
        <f>IF(AND('Mapa final'!$AB$48="Alta",'Mapa final'!$AD$48="Moderado"),CONCATENATE("R8C",'Mapa final'!$R$48),"")</f>
        <v/>
      </c>
      <c r="X23" s="57" t="str">
        <f>IF(AND('Mapa final'!$AB$49="Alta",'Mapa final'!$AD$49="Moderado"),CONCATENATE("R8C",'Mapa final'!$R$49),"")</f>
        <v/>
      </c>
      <c r="Y23" s="57" t="str">
        <f>IF(AND('Mapa final'!$AB$50="Alta",'Mapa final'!$AD$50="Moderado"),CONCATENATE("R8C",'Mapa final'!$R$50),"")</f>
        <v/>
      </c>
      <c r="Z23" s="57" t="str">
        <f>IF(AND('Mapa final'!$AB$51="Alta",'Mapa final'!$AD$51="Moderado"),CONCATENATE("R8C",'Mapa final'!$R$51),"")</f>
        <v/>
      </c>
      <c r="AA23" s="53" t="str">
        <f>IF(AND('Mapa final'!$AB$52="Alta",'Mapa final'!$AD$52="Moderado"),CONCATENATE("R8C",'Mapa final'!$R$52),"")</f>
        <v/>
      </c>
      <c r="AB23" s="51" t="str">
        <f ca="1">IF(AND('Mapa final'!$AB$47="Alta",'Mapa final'!$AD$47="Mayor"),CONCATENATE("R8C",'Mapa final'!$R$47),"")</f>
        <v/>
      </c>
      <c r="AC23" s="52" t="str">
        <f>IF(AND('Mapa final'!$AB$48="Alta",'Mapa final'!$AD$48="Mayor"),CONCATENATE("R8C",'Mapa final'!$R$48),"")</f>
        <v/>
      </c>
      <c r="AD23" s="57" t="str">
        <f>IF(AND('Mapa final'!$AB$49="Alta",'Mapa final'!$AD$49="Mayor"),CONCATENATE("R8C",'Mapa final'!$R$49),"")</f>
        <v/>
      </c>
      <c r="AE23" s="57" t="str">
        <f>IF(AND('Mapa final'!$AB$50="Alta",'Mapa final'!$AD$50="Mayor"),CONCATENATE("R8C",'Mapa final'!$R$50),"")</f>
        <v/>
      </c>
      <c r="AF23" s="57" t="str">
        <f>IF(AND('Mapa final'!$AB$51="Alta",'Mapa final'!$AD$51="Mayor"),CONCATENATE("R8C",'Mapa final'!$R$51),"")</f>
        <v/>
      </c>
      <c r="AG23" s="53" t="str">
        <f>IF(AND('Mapa final'!$AB$52="Alta",'Mapa final'!$AD$52="Mayor"),CONCATENATE("R8C",'Mapa final'!$R$52),"")</f>
        <v/>
      </c>
      <c r="AH23" s="54" t="str">
        <f ca="1">IF(AND('Mapa final'!$AB$47="Alta",'Mapa final'!$AD$47="Catastrófico"),CONCATENATE("R8C",'Mapa final'!$R$47),"")</f>
        <v/>
      </c>
      <c r="AI23" s="55" t="str">
        <f>IF(AND('Mapa final'!$AB$48="Alta",'Mapa final'!$AD$48="Catastrófico"),CONCATENATE("R8C",'Mapa final'!$R$48),"")</f>
        <v/>
      </c>
      <c r="AJ23" s="55" t="str">
        <f>IF(AND('Mapa final'!$AB$49="Alta",'Mapa final'!$AD$49="Catastrófico"),CONCATENATE("R8C",'Mapa final'!$R$49),"")</f>
        <v/>
      </c>
      <c r="AK23" s="55" t="str">
        <f>IF(AND('Mapa final'!$AB$50="Alta",'Mapa final'!$AD$50="Catastrófico"),CONCATENATE("R8C",'Mapa final'!$R$50),"")</f>
        <v/>
      </c>
      <c r="AL23" s="55" t="str">
        <f>IF(AND('Mapa final'!$AB$51="Alta",'Mapa final'!$AD$51="Catastrófico"),CONCATENATE("R8C",'Mapa final'!$R$51),"")</f>
        <v/>
      </c>
      <c r="AM23" s="56" t="str">
        <f>IF(AND('Mapa final'!$AB$52="Alta",'Mapa final'!$AD$52="Catastrófico"),CONCATENATE("R8C",'Mapa final'!$R$52),"")</f>
        <v/>
      </c>
      <c r="AN23" s="83"/>
      <c r="AO23" s="375"/>
      <c r="AP23" s="376"/>
      <c r="AQ23" s="376"/>
      <c r="AR23" s="376"/>
      <c r="AS23" s="376"/>
      <c r="AT23" s="37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84"/>
      <c r="C24" s="284"/>
      <c r="D24" s="285"/>
      <c r="E24" s="385"/>
      <c r="F24" s="386"/>
      <c r="G24" s="386"/>
      <c r="H24" s="386"/>
      <c r="I24" s="384"/>
      <c r="J24" s="67" t="str">
        <f ca="1">IF(AND('Mapa final'!$AB$59="Alta",'Mapa final'!$AD$59="Leve"),CONCATENATE("R9C",'Mapa final'!$R$59),"")</f>
        <v/>
      </c>
      <c r="K24" s="68" t="str">
        <f ca="1">IF(AND('Mapa final'!$AB$60="Alta",'Mapa final'!$AD$60="Leve"),CONCATENATE("R9C",'Mapa final'!$R$60),"")</f>
        <v/>
      </c>
      <c r="L24" s="68" t="str">
        <f>IF(AND('Mapa final'!$AB$61="Alta",'Mapa final'!$AD$61="Leve"),CONCATENATE("R9C",'Mapa final'!$R$61),"")</f>
        <v/>
      </c>
      <c r="M24" s="68" t="str">
        <f>IF(AND('Mapa final'!$AB$62="Alta",'Mapa final'!$AD$62="Leve"),CONCATENATE("R9C",'Mapa final'!$R$62),"")</f>
        <v/>
      </c>
      <c r="N24" s="68" t="str">
        <f>IF(AND('Mapa final'!$AB$63="Alta",'Mapa final'!$AD$63="Leve"),CONCATENATE("R9C",'Mapa final'!$R$63),"")</f>
        <v/>
      </c>
      <c r="O24" s="69" t="str">
        <f>IF(AND('Mapa final'!$AB$70="Alta",'Mapa final'!$AD$70="Leve"),CONCATENATE("R9C",'Mapa final'!$R$70),"")</f>
        <v/>
      </c>
      <c r="P24" s="67" t="str">
        <f ca="1">IF(AND('Mapa final'!$AB$59="Alta",'Mapa final'!$AD$59="Menor"),CONCATENATE("R9C",'Mapa final'!$R$59),"")</f>
        <v/>
      </c>
      <c r="Q24" s="68" t="str">
        <f ca="1">IF(AND('Mapa final'!$AB$60="Alta",'Mapa final'!$AD$60="Menor"),CONCATENATE("R9C",'Mapa final'!$R$60),"")</f>
        <v/>
      </c>
      <c r="R24" s="68" t="str">
        <f>IF(AND('Mapa final'!$AB$61="Alta",'Mapa final'!$AD$61="Menor"),CONCATENATE("R9C",'Mapa final'!$R$61),"")</f>
        <v/>
      </c>
      <c r="S24" s="68" t="str">
        <f>IF(AND('Mapa final'!$AB$62="Alta",'Mapa final'!$AD$62="Menor"),CONCATENATE("R9C",'Mapa final'!$R$62),"")</f>
        <v/>
      </c>
      <c r="T24" s="68" t="str">
        <f>IF(AND('Mapa final'!$AB$63="Alta",'Mapa final'!$AD$63="Menor"),CONCATENATE("R9C",'Mapa final'!$R$63),"")</f>
        <v/>
      </c>
      <c r="U24" s="69" t="str">
        <f>IF(AND('Mapa final'!$AB$70="Alta",'Mapa final'!$AD$70="Menor"),CONCATENATE("R9C",'Mapa final'!$R$70),"")</f>
        <v/>
      </c>
      <c r="V24" s="51" t="str">
        <f ca="1">IF(AND('Mapa final'!$AB$59="Alta",'Mapa final'!$AD$59="Moderado"),CONCATENATE("R9C",'Mapa final'!$R$59),"")</f>
        <v/>
      </c>
      <c r="W24" s="52" t="str">
        <f ca="1">IF(AND('Mapa final'!$AB$60="Alta",'Mapa final'!$AD$60="Moderado"),CONCATENATE("R9C",'Mapa final'!$R$60),"")</f>
        <v/>
      </c>
      <c r="X24" s="57" t="str">
        <f>IF(AND('Mapa final'!$AB$61="Alta",'Mapa final'!$AD$61="Moderado"),CONCATENATE("R9C",'Mapa final'!$R$61),"")</f>
        <v/>
      </c>
      <c r="Y24" s="57" t="str">
        <f>IF(AND('Mapa final'!$AB$62="Alta",'Mapa final'!$AD$62="Moderado"),CONCATENATE("R9C",'Mapa final'!$R$62),"")</f>
        <v/>
      </c>
      <c r="Z24" s="57" t="str">
        <f>IF(AND('Mapa final'!$AB$63="Alta",'Mapa final'!$AD$63="Moderado"),CONCATENATE("R9C",'Mapa final'!$R$63),"")</f>
        <v/>
      </c>
      <c r="AA24" s="53" t="str">
        <f>IF(AND('Mapa final'!$AB$70="Alta",'Mapa final'!$AD$70="Moderado"),CONCATENATE("R9C",'Mapa final'!$R$70),"")</f>
        <v/>
      </c>
      <c r="AB24" s="51" t="str">
        <f ca="1">IF(AND('Mapa final'!$AB$59="Alta",'Mapa final'!$AD$59="Mayor"),CONCATENATE("R9C",'Mapa final'!$R$59),"")</f>
        <v/>
      </c>
      <c r="AC24" s="52" t="str">
        <f ca="1">IF(AND('Mapa final'!$AB$60="Alta",'Mapa final'!$AD$60="Mayor"),CONCATENATE("R9C",'Mapa final'!$R$60),"")</f>
        <v/>
      </c>
      <c r="AD24" s="57" t="str">
        <f>IF(AND('Mapa final'!$AB$61="Alta",'Mapa final'!$AD$61="Mayor"),CONCATENATE("R9C",'Mapa final'!$R$61),"")</f>
        <v/>
      </c>
      <c r="AE24" s="57" t="str">
        <f>IF(AND('Mapa final'!$AB$62="Alta",'Mapa final'!$AD$62="Mayor"),CONCATENATE("R9C",'Mapa final'!$R$62),"")</f>
        <v/>
      </c>
      <c r="AF24" s="57" t="str">
        <f>IF(AND('Mapa final'!$AB$63="Alta",'Mapa final'!$AD$63="Mayor"),CONCATENATE("R9C",'Mapa final'!$R$63),"")</f>
        <v/>
      </c>
      <c r="AG24" s="53" t="str">
        <f>IF(AND('Mapa final'!$AB$70="Alta",'Mapa final'!$AD$70="Mayor"),CONCATENATE("R9C",'Mapa final'!$R$70),"")</f>
        <v/>
      </c>
      <c r="AH24" s="54" t="str">
        <f ca="1">IF(AND('Mapa final'!$AB$59="Alta",'Mapa final'!$AD$59="Catastrófico"),CONCATENATE("R9C",'Mapa final'!$R$59),"")</f>
        <v/>
      </c>
      <c r="AI24" s="55" t="str">
        <f ca="1">IF(AND('Mapa final'!$AB$60="Alta",'Mapa final'!$AD$60="Catastrófico"),CONCATENATE("R9C",'Mapa final'!$R$60),"")</f>
        <v/>
      </c>
      <c r="AJ24" s="55" t="str">
        <f>IF(AND('Mapa final'!$AB$61="Alta",'Mapa final'!$AD$61="Catastrófico"),CONCATENATE("R9C",'Mapa final'!$R$61),"")</f>
        <v/>
      </c>
      <c r="AK24" s="55" t="str">
        <f>IF(AND('Mapa final'!$AB$62="Alta",'Mapa final'!$AD$62="Catastrófico"),CONCATENATE("R9C",'Mapa final'!$R$62),"")</f>
        <v/>
      </c>
      <c r="AL24" s="55" t="str">
        <f>IF(AND('Mapa final'!$AB$63="Alta",'Mapa final'!$AD$63="Catastrófico"),CONCATENATE("R9C",'Mapa final'!$R$63),"")</f>
        <v/>
      </c>
      <c r="AM24" s="56" t="str">
        <f>IF(AND('Mapa final'!$AB$70="Alta",'Mapa final'!$AD$70="Catastrófico"),CONCATENATE("R9C",'Mapa final'!$R$70),"")</f>
        <v/>
      </c>
      <c r="AN24" s="83"/>
      <c r="AO24" s="375"/>
      <c r="AP24" s="376"/>
      <c r="AQ24" s="376"/>
      <c r="AR24" s="376"/>
      <c r="AS24" s="376"/>
      <c r="AT24" s="37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84"/>
      <c r="C25" s="284"/>
      <c r="D25" s="285"/>
      <c r="E25" s="387"/>
      <c r="F25" s="388"/>
      <c r="G25" s="388"/>
      <c r="H25" s="388"/>
      <c r="I25" s="388"/>
      <c r="J25" s="70" t="str">
        <f ca="1">IF(AND('Mapa final'!$AB$71="Alta",'Mapa final'!$AD$71="Leve"),CONCATENATE("R10C",'Mapa final'!$R$71),"")</f>
        <v/>
      </c>
      <c r="K25" s="71" t="str">
        <f ca="1">IF(AND('Mapa final'!$AB$72="Alta",'Mapa final'!$AD$72="Leve"),CONCATENATE("R10C",'Mapa final'!$R$72),"")</f>
        <v/>
      </c>
      <c r="L25" s="71" t="str">
        <f ca="1">IF(AND('Mapa final'!$AB$73="Alta",'Mapa final'!$AD$73="Leve"),CONCATENATE("R10C",'Mapa final'!$R$73),"")</f>
        <v/>
      </c>
      <c r="M25" s="71" t="str">
        <f>IF(AND('Mapa final'!$AB$74="Alta",'Mapa final'!$AD$74="Leve"),CONCATENATE("R10C",'Mapa final'!$R$74),"")</f>
        <v/>
      </c>
      <c r="N25" s="71" t="str">
        <f>IF(AND('Mapa final'!$AB$75="Alta",'Mapa final'!$AD$75="Leve"),CONCATENATE("R10C",'Mapa final'!$R$75),"")</f>
        <v/>
      </c>
      <c r="O25" s="72" t="str">
        <f>IF(AND('Mapa final'!$AB$76="Alta",'Mapa final'!$AD$76="Leve"),CONCATENATE("R10C",'Mapa final'!$R$76),"")</f>
        <v/>
      </c>
      <c r="P25" s="70" t="str">
        <f ca="1">IF(AND('Mapa final'!$AB$71="Alta",'Mapa final'!$AD$71="Menor"),CONCATENATE("R10C",'Mapa final'!$R$71),"")</f>
        <v/>
      </c>
      <c r="Q25" s="71" t="str">
        <f ca="1">IF(AND('Mapa final'!$AB$72="Alta",'Mapa final'!$AD$72="Menor"),CONCATENATE("R10C",'Mapa final'!$R$72),"")</f>
        <v/>
      </c>
      <c r="R25" s="71" t="str">
        <f ca="1">IF(AND('Mapa final'!$AB$73="Alta",'Mapa final'!$AD$73="Menor"),CONCATENATE("R10C",'Mapa final'!$R$73),"")</f>
        <v/>
      </c>
      <c r="S25" s="71" t="str">
        <f>IF(AND('Mapa final'!$AB$74="Alta",'Mapa final'!$AD$74="Menor"),CONCATENATE("R10C",'Mapa final'!$R$74),"")</f>
        <v/>
      </c>
      <c r="T25" s="71" t="str">
        <f>IF(AND('Mapa final'!$AB$75="Alta",'Mapa final'!$AD$75="Menor"),CONCATENATE("R10C",'Mapa final'!$R$75),"")</f>
        <v/>
      </c>
      <c r="U25" s="72" t="str">
        <f>IF(AND('Mapa final'!$AB$76="Alta",'Mapa final'!$AD$76="Menor"),CONCATENATE("R10C",'Mapa final'!$R$76),"")</f>
        <v/>
      </c>
      <c r="V25" s="58" t="str">
        <f ca="1">IF(AND('Mapa final'!$AB$71="Alta",'Mapa final'!$AD$71="Moderado"),CONCATENATE("R10C",'Mapa final'!$R$71),"")</f>
        <v/>
      </c>
      <c r="W25" s="59" t="str">
        <f ca="1">IF(AND('Mapa final'!$AB$72="Alta",'Mapa final'!$AD$72="Moderado"),CONCATENATE("R10C",'Mapa final'!$R$72),"")</f>
        <v/>
      </c>
      <c r="X25" s="59" t="str">
        <f ca="1">IF(AND('Mapa final'!$AB$73="Alta",'Mapa final'!$AD$73="Moderado"),CONCATENATE("R10C",'Mapa final'!$R$73),"")</f>
        <v/>
      </c>
      <c r="Y25" s="59" t="str">
        <f>IF(AND('Mapa final'!$AB$74="Alta",'Mapa final'!$AD$74="Moderado"),CONCATENATE("R10C",'Mapa final'!$R$74),"")</f>
        <v/>
      </c>
      <c r="Z25" s="59" t="str">
        <f>IF(AND('Mapa final'!$AB$75="Alta",'Mapa final'!$AD$75="Moderado"),CONCATENATE("R10C",'Mapa final'!$R$75),"")</f>
        <v/>
      </c>
      <c r="AA25" s="60" t="str">
        <f>IF(AND('Mapa final'!$AB$76="Alta",'Mapa final'!$AD$76="Moderado"),CONCATENATE("R10C",'Mapa final'!$R$76),"")</f>
        <v/>
      </c>
      <c r="AB25" s="58" t="str">
        <f ca="1">IF(AND('Mapa final'!$AB$71="Alta",'Mapa final'!$AD$71="Mayor"),CONCATENATE("R10C",'Mapa final'!$R$71),"")</f>
        <v/>
      </c>
      <c r="AC25" s="59" t="str">
        <f ca="1">IF(AND('Mapa final'!$AB$72="Alta",'Mapa final'!$AD$72="Mayor"),CONCATENATE("R10C",'Mapa final'!$R$72),"")</f>
        <v/>
      </c>
      <c r="AD25" s="59" t="str">
        <f ca="1">IF(AND('Mapa final'!$AB$73="Alta",'Mapa final'!$AD$73="Mayor"),CONCATENATE("R10C",'Mapa final'!$R$73),"")</f>
        <v/>
      </c>
      <c r="AE25" s="59" t="str">
        <f>IF(AND('Mapa final'!$AB$74="Alta",'Mapa final'!$AD$74="Mayor"),CONCATENATE("R10C",'Mapa final'!$R$74),"")</f>
        <v/>
      </c>
      <c r="AF25" s="59" t="str">
        <f>IF(AND('Mapa final'!$AB$75="Alta",'Mapa final'!$AD$75="Mayor"),CONCATENATE("R10C",'Mapa final'!$R$75),"")</f>
        <v/>
      </c>
      <c r="AG25" s="60" t="str">
        <f>IF(AND('Mapa final'!$AB$76="Alta",'Mapa final'!$AD$76="Mayor"),CONCATENATE("R10C",'Mapa final'!$R$76),"")</f>
        <v/>
      </c>
      <c r="AH25" s="61" t="str">
        <f ca="1">IF(AND('Mapa final'!$AB$71="Alta",'Mapa final'!$AD$71="Catastrófico"),CONCATENATE("R10C",'Mapa final'!$R$71),"")</f>
        <v/>
      </c>
      <c r="AI25" s="62" t="str">
        <f ca="1">IF(AND('Mapa final'!$AB$72="Alta",'Mapa final'!$AD$72="Catastrófico"),CONCATENATE("R10C",'Mapa final'!$R$72),"")</f>
        <v/>
      </c>
      <c r="AJ25" s="62" t="str">
        <f ca="1">IF(AND('Mapa final'!$AB$73="Alta",'Mapa final'!$AD$73="Catastrófico"),CONCATENATE("R10C",'Mapa final'!$R$73),"")</f>
        <v/>
      </c>
      <c r="AK25" s="62" t="str">
        <f>IF(AND('Mapa final'!$AB$74="Alta",'Mapa final'!$AD$74="Catastrófico"),CONCATENATE("R10C",'Mapa final'!$R$74),"")</f>
        <v/>
      </c>
      <c r="AL25" s="62" t="str">
        <f>IF(AND('Mapa final'!$AB$75="Alta",'Mapa final'!$AD$75="Catastrófico"),CONCATENATE("R10C",'Mapa final'!$R$75),"")</f>
        <v/>
      </c>
      <c r="AM25" s="63" t="str">
        <f>IF(AND('Mapa final'!$AB$76="Alta",'Mapa final'!$AD$76="Catastrófico"),CONCATENATE("R10C",'Mapa final'!$R$76),"")</f>
        <v/>
      </c>
      <c r="AN25" s="83"/>
      <c r="AO25" s="378"/>
      <c r="AP25" s="379"/>
      <c r="AQ25" s="379"/>
      <c r="AR25" s="379"/>
      <c r="AS25" s="379"/>
      <c r="AT25" s="38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84"/>
      <c r="C26" s="284"/>
      <c r="D26" s="285"/>
      <c r="E26" s="381" t="s">
        <v>109</v>
      </c>
      <c r="F26" s="382"/>
      <c r="G26" s="382"/>
      <c r="H26" s="382"/>
      <c r="I26" s="400"/>
      <c r="J26" s="64" t="str">
        <f ca="1">IF(AND('Mapa final'!$AB$11="Media",'Mapa final'!$AD$11="Leve"),CONCATENATE("R1C",'Mapa final'!$R$11),"")</f>
        <v/>
      </c>
      <c r="K26" s="65" t="str">
        <f ca="1">IF(AND('Mapa final'!$AB$12="Media",'Mapa final'!$AD$12="Leve"),CONCATENATE("R1C",'Mapa final'!$R$12),"")</f>
        <v/>
      </c>
      <c r="L26" s="65" t="str">
        <f>IF(AND('Mapa final'!$AB$13="Media",'Mapa final'!$AD$13="Leve"),CONCATENATE("R1C",'Mapa final'!$R$13),"")</f>
        <v/>
      </c>
      <c r="M26" s="65" t="str">
        <f>IF(AND('Mapa final'!$AB$14="Media",'Mapa final'!$AD$14="Leve"),CONCATENATE("R1C",'Mapa final'!$R$14),"")</f>
        <v/>
      </c>
      <c r="N26" s="65" t="str">
        <f>IF(AND('Mapa final'!$AB$15="Media",'Mapa final'!$AD$15="Leve"),CONCATENATE("R1C",'Mapa final'!$R$15),"")</f>
        <v/>
      </c>
      <c r="O26" s="66" t="str">
        <f>IF(AND('Mapa final'!$AB$16="Media",'Mapa final'!$AD$16="Leve"),CONCATENATE("R1C",'Mapa final'!$R$16),"")</f>
        <v/>
      </c>
      <c r="P26" s="64" t="str">
        <f ca="1">IF(AND('Mapa final'!$AB$11="Media",'Mapa final'!$AD$11="Menor"),CONCATENATE("R1C",'Mapa final'!$R$11),"")</f>
        <v/>
      </c>
      <c r="Q26" s="65" t="str">
        <f ca="1">IF(AND('Mapa final'!$AB$12="Media",'Mapa final'!$AD$12="Menor"),CONCATENATE("R1C",'Mapa final'!$R$12),"")</f>
        <v/>
      </c>
      <c r="R26" s="65" t="str">
        <f>IF(AND('Mapa final'!$AB$13="Media",'Mapa final'!$AD$13="Menor"),CONCATENATE("R1C",'Mapa final'!$R$13),"")</f>
        <v/>
      </c>
      <c r="S26" s="65" t="str">
        <f>IF(AND('Mapa final'!$AB$14="Media",'Mapa final'!$AD$14="Menor"),CONCATENATE("R1C",'Mapa final'!$R$14),"")</f>
        <v/>
      </c>
      <c r="T26" s="65" t="str">
        <f>IF(AND('Mapa final'!$AB$15="Media",'Mapa final'!$AD$15="Menor"),CONCATENATE("R1C",'Mapa final'!$R$15),"")</f>
        <v/>
      </c>
      <c r="U26" s="66" t="str">
        <f>IF(AND('Mapa final'!$AB$16="Media",'Mapa final'!$AD$16="Menor"),CONCATENATE("R1C",'Mapa final'!$R$16),"")</f>
        <v/>
      </c>
      <c r="V26" s="64" t="str">
        <f ca="1">IF(AND('Mapa final'!$AB$11="Media",'Mapa final'!$AD$11="Moderado"),CONCATENATE("R1C",'Mapa final'!$R$11),"")</f>
        <v/>
      </c>
      <c r="W26" s="65" t="str">
        <f ca="1">IF(AND('Mapa final'!$AB$12="Media",'Mapa final'!$AD$12="Moderado"),CONCATENATE("R1C",'Mapa final'!$R$12),"")</f>
        <v/>
      </c>
      <c r="X26" s="65" t="str">
        <f>IF(AND('Mapa final'!$AB$13="Media",'Mapa final'!$AD$13="Moderado"),CONCATENATE("R1C",'Mapa final'!$R$13),"")</f>
        <v/>
      </c>
      <c r="Y26" s="65" t="str">
        <f>IF(AND('Mapa final'!$AB$14="Media",'Mapa final'!$AD$14="Moderado"),CONCATENATE("R1C",'Mapa final'!$R$14),"")</f>
        <v/>
      </c>
      <c r="Z26" s="65" t="str">
        <f>IF(AND('Mapa final'!$AB$15="Media",'Mapa final'!$AD$15="Moderado"),CONCATENATE("R1C",'Mapa final'!$R$15),"")</f>
        <v/>
      </c>
      <c r="AA26" s="66" t="str">
        <f>IF(AND('Mapa final'!$AB$16="Media",'Mapa final'!$AD$16="Moderado"),CONCATENATE("R1C",'Mapa final'!$R$16),"")</f>
        <v/>
      </c>
      <c r="AB26" s="45" t="str">
        <f ca="1">IF(AND('Mapa final'!$AB$11="Media",'Mapa final'!$AD$11="Mayor"),CONCATENATE("R1C",'Mapa final'!$R$11),"")</f>
        <v/>
      </c>
      <c r="AC26" s="46" t="str">
        <f ca="1">IF(AND('Mapa final'!$AB$12="Media",'Mapa final'!$AD$12="Mayor"),CONCATENATE("R1C",'Mapa final'!$R$12),"")</f>
        <v/>
      </c>
      <c r="AD26" s="46" t="str">
        <f>IF(AND('Mapa final'!$AB$13="Media",'Mapa final'!$AD$13="Mayor"),CONCATENATE("R1C",'Mapa final'!$R$13),"")</f>
        <v/>
      </c>
      <c r="AE26" s="46" t="str">
        <f>IF(AND('Mapa final'!$AB$14="Media",'Mapa final'!$AD$14="Mayor"),CONCATENATE("R1C",'Mapa final'!$R$14),"")</f>
        <v/>
      </c>
      <c r="AF26" s="46" t="str">
        <f>IF(AND('Mapa final'!$AB$15="Media",'Mapa final'!$AD$15="Mayor"),CONCATENATE("R1C",'Mapa final'!$R$15),"")</f>
        <v/>
      </c>
      <c r="AG26" s="47" t="str">
        <f>IF(AND('Mapa final'!$AB$16="Media",'Mapa final'!$AD$16="Mayor"),CONCATENATE("R1C",'Mapa final'!$R$16),"")</f>
        <v/>
      </c>
      <c r="AH26" s="48" t="str">
        <f ca="1">IF(AND('Mapa final'!$AB$11="Media",'Mapa final'!$AD$11="Catastrófico"),CONCATENATE("R1C",'Mapa final'!$R$11),"")</f>
        <v/>
      </c>
      <c r="AI26" s="49" t="str">
        <f ca="1">IF(AND('Mapa final'!$AB$12="Media",'Mapa final'!$AD$12="Catastrófico"),CONCATENATE("R1C",'Mapa final'!$R$12),"")</f>
        <v/>
      </c>
      <c r="AJ26" s="49" t="str">
        <f>IF(AND('Mapa final'!$AB$13="Media",'Mapa final'!$AD$13="Catastrófico"),CONCATENATE("R1C",'Mapa final'!$R$13),"")</f>
        <v/>
      </c>
      <c r="AK26" s="49" t="str">
        <f>IF(AND('Mapa final'!$AB$14="Media",'Mapa final'!$AD$14="Catastrófico"),CONCATENATE("R1C",'Mapa final'!$R$14),"")</f>
        <v/>
      </c>
      <c r="AL26" s="49" t="str">
        <f>IF(AND('Mapa final'!$AB$15="Media",'Mapa final'!$AD$15="Catastrófico"),CONCATENATE("R1C",'Mapa final'!$R$15),"")</f>
        <v/>
      </c>
      <c r="AM26" s="50" t="str">
        <f>IF(AND('Mapa final'!$AB$16="Media",'Mapa final'!$AD$16="Catastrófico"),CONCATENATE("R1C",'Mapa final'!$R$16),"")</f>
        <v/>
      </c>
      <c r="AN26" s="83"/>
      <c r="AO26" s="412" t="s">
        <v>78</v>
      </c>
      <c r="AP26" s="413"/>
      <c r="AQ26" s="413"/>
      <c r="AR26" s="413"/>
      <c r="AS26" s="413"/>
      <c r="AT26" s="41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84"/>
      <c r="C27" s="284"/>
      <c r="D27" s="285"/>
      <c r="E27" s="383"/>
      <c r="F27" s="384"/>
      <c r="G27" s="384"/>
      <c r="H27" s="384"/>
      <c r="I27" s="401"/>
      <c r="J27" s="67" t="str">
        <f ca="1">IF(AND('Mapa final'!$AB$17="Media",'Mapa final'!$AD$17="Leve"),CONCATENATE("R2C",'Mapa final'!$R$17),"")</f>
        <v/>
      </c>
      <c r="K27" s="68" t="str">
        <f ca="1">IF(AND('Mapa final'!$AB$18="Media",'Mapa final'!$AD$18="Leve"),CONCATENATE("R2C",'Mapa final'!$R$18),"")</f>
        <v/>
      </c>
      <c r="L27" s="68" t="str">
        <f ca="1">IF(AND('Mapa final'!$AB$19="Media",'Mapa final'!$AD$19="Leve"),CONCATENATE("R2C",'Mapa final'!$R$19),"")</f>
        <v/>
      </c>
      <c r="M27" s="68" t="str">
        <f>IF(AND('Mapa final'!$AB$20="Media",'Mapa final'!$AD$20="Leve"),CONCATENATE("R2C",'Mapa final'!$R$20),"")</f>
        <v/>
      </c>
      <c r="N27" s="68" t="str">
        <f>IF(AND('Mapa final'!$AB$21="Media",'Mapa final'!$AD$21="Leve"),CONCATENATE("R2C",'Mapa final'!$R$21),"")</f>
        <v/>
      </c>
      <c r="O27" s="69" t="str">
        <f>IF(AND('Mapa final'!$AB$22="Media",'Mapa final'!$AD$22="Leve"),CONCATENATE("R2C",'Mapa final'!$R$22),"")</f>
        <v/>
      </c>
      <c r="P27" s="67" t="str">
        <f ca="1">IF(AND('Mapa final'!$AB$17="Media",'Mapa final'!$AD$17="Menor"),CONCATENATE("R2C",'Mapa final'!$R$17),"")</f>
        <v/>
      </c>
      <c r="Q27" s="68" t="str">
        <f ca="1">IF(AND('Mapa final'!$AB$18="Media",'Mapa final'!$AD$18="Menor"),CONCATENATE("R2C",'Mapa final'!$R$18),"")</f>
        <v/>
      </c>
      <c r="R27" s="68" t="str">
        <f ca="1">IF(AND('Mapa final'!$AB$19="Media",'Mapa final'!$AD$19="Menor"),CONCATENATE("R2C",'Mapa final'!$R$19),"")</f>
        <v/>
      </c>
      <c r="S27" s="68" t="str">
        <f>IF(AND('Mapa final'!$AB$20="Media",'Mapa final'!$AD$20="Menor"),CONCATENATE("R2C",'Mapa final'!$R$20),"")</f>
        <v/>
      </c>
      <c r="T27" s="68" t="str">
        <f>IF(AND('Mapa final'!$AB$21="Media",'Mapa final'!$AD$21="Menor"),CONCATENATE("R2C",'Mapa final'!$R$21),"")</f>
        <v/>
      </c>
      <c r="U27" s="69" t="str">
        <f>IF(AND('Mapa final'!$AB$22="Media",'Mapa final'!$AD$22="Menor"),CONCATENATE("R2C",'Mapa final'!$R$22),"")</f>
        <v/>
      </c>
      <c r="V27" s="67" t="str">
        <f ca="1">IF(AND('Mapa final'!$AB$17="Media",'Mapa final'!$AD$17="Moderado"),CONCATENATE("R2C",'Mapa final'!$R$17),"")</f>
        <v/>
      </c>
      <c r="W27" s="68" t="str">
        <f ca="1">IF(AND('Mapa final'!$AB$18="Media",'Mapa final'!$AD$18="Moderado"),CONCATENATE("R2C",'Mapa final'!$R$18),"")</f>
        <v/>
      </c>
      <c r="X27" s="68" t="str">
        <f ca="1">IF(AND('Mapa final'!$AB$19="Media",'Mapa final'!$AD$19="Moderado"),CONCATENATE("R2C",'Mapa final'!$R$19),"")</f>
        <v/>
      </c>
      <c r="Y27" s="68" t="str">
        <f>IF(AND('Mapa final'!$AB$20="Media",'Mapa final'!$AD$20="Moderado"),CONCATENATE("R2C",'Mapa final'!$R$20),"")</f>
        <v/>
      </c>
      <c r="Z27" s="68" t="str">
        <f>IF(AND('Mapa final'!$AB$21="Media",'Mapa final'!$AD$21="Moderado"),CONCATENATE("R2C",'Mapa final'!$R$21),"")</f>
        <v/>
      </c>
      <c r="AA27" s="69" t="str">
        <f>IF(AND('Mapa final'!$AB$22="Media",'Mapa final'!$AD$22="Moderado"),CONCATENATE("R2C",'Mapa final'!$R$22),"")</f>
        <v/>
      </c>
      <c r="AB27" s="51" t="str">
        <f ca="1">IF(AND('Mapa final'!$AB$17="Media",'Mapa final'!$AD$17="Mayor"),CONCATENATE("R2C",'Mapa final'!$R$17),"")</f>
        <v/>
      </c>
      <c r="AC27" s="52" t="str">
        <f ca="1">IF(AND('Mapa final'!$AB$18="Media",'Mapa final'!$AD$18="Mayor"),CONCATENATE("R2C",'Mapa final'!$R$18),"")</f>
        <v/>
      </c>
      <c r="AD27" s="52" t="str">
        <f ca="1">IF(AND('Mapa final'!$AB$19="Media",'Mapa final'!$AD$19="Mayor"),CONCATENATE("R2C",'Mapa final'!$R$19),"")</f>
        <v/>
      </c>
      <c r="AE27" s="52" t="str">
        <f>IF(AND('Mapa final'!$AB$20="Media",'Mapa final'!$AD$20="Mayor"),CONCATENATE("R2C",'Mapa final'!$R$20),"")</f>
        <v/>
      </c>
      <c r="AF27" s="52" t="str">
        <f>IF(AND('Mapa final'!$AB$21="Media",'Mapa final'!$AD$21="Mayor"),CONCATENATE("R2C",'Mapa final'!$R$21),"")</f>
        <v/>
      </c>
      <c r="AG27" s="53" t="str">
        <f>IF(AND('Mapa final'!$AB$22="Media",'Mapa final'!$AD$22="Mayor"),CONCATENATE("R2C",'Mapa final'!$R$22),"")</f>
        <v/>
      </c>
      <c r="AH27" s="54" t="str">
        <f ca="1">IF(AND('Mapa final'!$AB$17="Media",'Mapa final'!$AD$17="Catastrófico"),CONCATENATE("R2C",'Mapa final'!$R$17),"")</f>
        <v/>
      </c>
      <c r="AI27" s="55" t="str">
        <f ca="1">IF(AND('Mapa final'!$AB$18="Media",'Mapa final'!$AD$18="Catastrófico"),CONCATENATE("R2C",'Mapa final'!$R$18),"")</f>
        <v/>
      </c>
      <c r="AJ27" s="55" t="str">
        <f ca="1">IF(AND('Mapa final'!$AB$19="Media",'Mapa final'!$AD$19="Catastrófico"),CONCATENATE("R2C",'Mapa final'!$R$19),"")</f>
        <v/>
      </c>
      <c r="AK27" s="55" t="str">
        <f>IF(AND('Mapa final'!$AB$20="Media",'Mapa final'!$AD$20="Catastrófico"),CONCATENATE("R2C",'Mapa final'!$R$20),"")</f>
        <v/>
      </c>
      <c r="AL27" s="55" t="str">
        <f>IF(AND('Mapa final'!$AB$21="Media",'Mapa final'!$AD$21="Catastrófico"),CONCATENATE("R2C",'Mapa final'!$R$21),"")</f>
        <v/>
      </c>
      <c r="AM27" s="56" t="str">
        <f>IF(AND('Mapa final'!$AB$22="Media",'Mapa final'!$AD$22="Catastrófico"),CONCATENATE("R2C",'Mapa final'!$R$22),"")</f>
        <v/>
      </c>
      <c r="AN27" s="83"/>
      <c r="AO27" s="415"/>
      <c r="AP27" s="416"/>
      <c r="AQ27" s="416"/>
      <c r="AR27" s="416"/>
      <c r="AS27" s="416"/>
      <c r="AT27" s="41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84"/>
      <c r="C28" s="284"/>
      <c r="D28" s="285"/>
      <c r="E28" s="385"/>
      <c r="F28" s="386"/>
      <c r="G28" s="386"/>
      <c r="H28" s="386"/>
      <c r="I28" s="401"/>
      <c r="J28" s="67" t="str">
        <f ca="1">IF(AND('Mapa final'!$AB$23="Media",'Mapa final'!$AD$23="Leve"),CONCATENATE("R3C",'Mapa final'!$R$23),"")</f>
        <v/>
      </c>
      <c r="K28" s="68" t="str">
        <f ca="1">IF(AND('Mapa final'!$AB$24="Media",'Mapa final'!$AD$24="Leve"),CONCATENATE("R3C",'Mapa final'!$R$24),"")</f>
        <v/>
      </c>
      <c r="L28" s="68" t="str">
        <f ca="1">IF(AND('Mapa final'!$AB$25="Media",'Mapa final'!$AD$25="Leve"),CONCATENATE("R3C",'Mapa final'!$R$25),"")</f>
        <v/>
      </c>
      <c r="M28" s="68" t="str">
        <f ca="1">IF(AND('Mapa final'!$AB$26="Media",'Mapa final'!$AD$26="Leve"),CONCATENATE("R3C",'Mapa final'!$R$26),"")</f>
        <v/>
      </c>
      <c r="N28" s="68" t="str">
        <f ca="1">IF(AND('Mapa final'!$AB$27="Media",'Mapa final'!$AD$27="Leve"),CONCATENATE("R3C",'Mapa final'!$R$27),"")</f>
        <v/>
      </c>
      <c r="O28" s="69" t="str">
        <f>IF(AND('Mapa final'!$AB$28="Media",'Mapa final'!$AD$28="Leve"),CONCATENATE("R3C",'Mapa final'!$R$28),"")</f>
        <v/>
      </c>
      <c r="P28" s="67" t="str">
        <f ca="1">IF(AND('Mapa final'!$AB$23="Media",'Mapa final'!$AD$23="Menor"),CONCATENATE("R3C",'Mapa final'!$R$23),"")</f>
        <v/>
      </c>
      <c r="Q28" s="68" t="str">
        <f ca="1">IF(AND('Mapa final'!$AB$24="Media",'Mapa final'!$AD$24="Menor"),CONCATENATE("R3C",'Mapa final'!$R$24),"")</f>
        <v/>
      </c>
      <c r="R28" s="68" t="str">
        <f ca="1">IF(AND('Mapa final'!$AB$25="Media",'Mapa final'!$AD$25="Menor"),CONCATENATE("R3C",'Mapa final'!$R$25),"")</f>
        <v/>
      </c>
      <c r="S28" s="68" t="str">
        <f ca="1">IF(AND('Mapa final'!$AB$26="Media",'Mapa final'!$AD$26="Menor"),CONCATENATE("R3C",'Mapa final'!$R$26),"")</f>
        <v/>
      </c>
      <c r="T28" s="68" t="str">
        <f ca="1">IF(AND('Mapa final'!$AB$27="Media",'Mapa final'!$AD$27="Menor"),CONCATENATE("R3C",'Mapa final'!$R$27),"")</f>
        <v/>
      </c>
      <c r="U28" s="69" t="str">
        <f>IF(AND('Mapa final'!$AB$28="Media",'Mapa final'!$AD$28="Menor"),CONCATENATE("R3C",'Mapa final'!$R$28),"")</f>
        <v/>
      </c>
      <c r="V28" s="67" t="str">
        <f ca="1">IF(AND('Mapa final'!$AB$23="Media",'Mapa final'!$AD$23="Moderado"),CONCATENATE("R3C",'Mapa final'!$R$23),"")</f>
        <v/>
      </c>
      <c r="W28" s="68" t="str">
        <f ca="1">IF(AND('Mapa final'!$AB$24="Media",'Mapa final'!$AD$24="Moderado"),CONCATENATE("R3C",'Mapa final'!$R$24),"")</f>
        <v/>
      </c>
      <c r="X28" s="68" t="str">
        <f ca="1">IF(AND('Mapa final'!$AB$25="Media",'Mapa final'!$AD$25="Moderado"),CONCATENATE("R3C",'Mapa final'!$R$25),"")</f>
        <v/>
      </c>
      <c r="Y28" s="68" t="str">
        <f ca="1">IF(AND('Mapa final'!$AB$26="Media",'Mapa final'!$AD$26="Moderado"),CONCATENATE("R3C",'Mapa final'!$R$26),"")</f>
        <v/>
      </c>
      <c r="Z28" s="68" t="str">
        <f ca="1">IF(AND('Mapa final'!$AB$27="Media",'Mapa final'!$AD$27="Moderado"),CONCATENATE("R3C",'Mapa final'!$R$27),"")</f>
        <v/>
      </c>
      <c r="AA28" s="69" t="str">
        <f>IF(AND('Mapa final'!$AB$28="Media",'Mapa final'!$AD$28="Moderado"),CONCATENATE("R3C",'Mapa final'!$R$28),"")</f>
        <v/>
      </c>
      <c r="AB28" s="51" t="str">
        <f ca="1">IF(AND('Mapa final'!$AB$23="Media",'Mapa final'!$AD$23="Mayor"),CONCATENATE("R3C",'Mapa final'!$R$23),"")</f>
        <v/>
      </c>
      <c r="AC28" s="52" t="str">
        <f ca="1">IF(AND('Mapa final'!$AB$24="Media",'Mapa final'!$AD$24="Mayor"),CONCATENATE("R3C",'Mapa final'!$R$24),"")</f>
        <v/>
      </c>
      <c r="AD28" s="52" t="str">
        <f ca="1">IF(AND('Mapa final'!$AB$25="Media",'Mapa final'!$AD$25="Mayor"),CONCATENATE("R3C",'Mapa final'!$R$25),"")</f>
        <v/>
      </c>
      <c r="AE28" s="52" t="str">
        <f ca="1">IF(AND('Mapa final'!$AB$26="Media",'Mapa final'!$AD$26="Mayor"),CONCATENATE("R3C",'Mapa final'!$R$26),"")</f>
        <v/>
      </c>
      <c r="AF28" s="52" t="str">
        <f ca="1">IF(AND('Mapa final'!$AB$27="Media",'Mapa final'!$AD$27="Mayor"),CONCATENATE("R3C",'Mapa final'!$R$27),"")</f>
        <v/>
      </c>
      <c r="AG28" s="53" t="str">
        <f>IF(AND('Mapa final'!$AB$28="Media",'Mapa final'!$AD$28="Mayor"),CONCATENATE("R3C",'Mapa final'!$R$28),"")</f>
        <v/>
      </c>
      <c r="AH28" s="54" t="str">
        <f ca="1">IF(AND('Mapa final'!$AB$23="Media",'Mapa final'!$AD$23="Catastrófico"),CONCATENATE("R3C",'Mapa final'!$R$23),"")</f>
        <v/>
      </c>
      <c r="AI28" s="55" t="str">
        <f ca="1">IF(AND('Mapa final'!$AB$24="Media",'Mapa final'!$AD$24="Catastrófico"),CONCATENATE("R3C",'Mapa final'!$R$24),"")</f>
        <v/>
      </c>
      <c r="AJ28" s="55" t="str">
        <f ca="1">IF(AND('Mapa final'!$AB$25="Media",'Mapa final'!$AD$25="Catastrófico"),CONCATENATE("R3C",'Mapa final'!$R$25),"")</f>
        <v/>
      </c>
      <c r="AK28" s="55" t="str">
        <f ca="1">IF(AND('Mapa final'!$AB$26="Media",'Mapa final'!$AD$26="Catastrófico"),CONCATENATE("R3C",'Mapa final'!$R$26),"")</f>
        <v/>
      </c>
      <c r="AL28" s="55" t="str">
        <f ca="1">IF(AND('Mapa final'!$AB$27="Media",'Mapa final'!$AD$27="Catastrófico"),CONCATENATE("R3C",'Mapa final'!$R$27),"")</f>
        <v/>
      </c>
      <c r="AM28" s="56" t="str">
        <f>IF(AND('Mapa final'!$AB$28="Media",'Mapa final'!$AD$28="Catastrófico"),CONCATENATE("R3C",'Mapa final'!$R$28),"")</f>
        <v/>
      </c>
      <c r="AN28" s="83"/>
      <c r="AO28" s="415"/>
      <c r="AP28" s="416"/>
      <c r="AQ28" s="416"/>
      <c r="AR28" s="416"/>
      <c r="AS28" s="416"/>
      <c r="AT28" s="41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84"/>
      <c r="C29" s="284"/>
      <c r="D29" s="285"/>
      <c r="E29" s="385"/>
      <c r="F29" s="386"/>
      <c r="G29" s="386"/>
      <c r="H29" s="386"/>
      <c r="I29" s="401"/>
      <c r="J29" s="67" t="str">
        <f ca="1">IF(AND('Mapa final'!$AB$29="Media",'Mapa final'!$AD$29="Leve"),CONCATENATE("R4C",'Mapa final'!$R$29),"")</f>
        <v/>
      </c>
      <c r="K29" s="68" t="str">
        <f ca="1">IF(AND('Mapa final'!$AB$30="Media",'Mapa final'!$AD$30="Leve"),CONCATENATE("R4C",'Mapa final'!$R$30),"")</f>
        <v/>
      </c>
      <c r="L29" s="68" t="str">
        <f ca="1">IF(AND('Mapa final'!$AB$31="Media",'Mapa final'!$AD$31="Leve"),CONCATENATE("R4C",'Mapa final'!$R$31),"")</f>
        <v/>
      </c>
      <c r="M29" s="68" t="str">
        <f ca="1">IF(AND('Mapa final'!$AB$32="Media",'Mapa final'!$AD$32="Leve"),CONCATENATE("R4C",'Mapa final'!$R$32),"")</f>
        <v/>
      </c>
      <c r="N29" s="68" t="str">
        <f>IF(AND('Mapa final'!$AB$33="Media",'Mapa final'!$AD$33="Leve"),CONCATENATE("R4C",'Mapa final'!$R$33),"")</f>
        <v/>
      </c>
      <c r="O29" s="69" t="str">
        <f>IF(AND('Mapa final'!$AB$34="Media",'Mapa final'!$AD$34="Leve"),CONCATENATE("R4C",'Mapa final'!$R$34),"")</f>
        <v/>
      </c>
      <c r="P29" s="67" t="str">
        <f ca="1">IF(AND('Mapa final'!$AB$29="Media",'Mapa final'!$AD$29="Menor"),CONCATENATE("R4C",'Mapa final'!$R$29),"")</f>
        <v/>
      </c>
      <c r="Q29" s="68" t="str">
        <f ca="1">IF(AND('Mapa final'!$AB$30="Media",'Mapa final'!$AD$30="Menor"),CONCATENATE("R4C",'Mapa final'!$R$30),"")</f>
        <v/>
      </c>
      <c r="R29" s="68" t="str">
        <f ca="1">IF(AND('Mapa final'!$AB$31="Media",'Mapa final'!$AD$31="Menor"),CONCATENATE("R4C",'Mapa final'!$R$31),"")</f>
        <v/>
      </c>
      <c r="S29" s="68" t="str">
        <f ca="1">IF(AND('Mapa final'!$AB$32="Media",'Mapa final'!$AD$32="Menor"),CONCATENATE("R4C",'Mapa final'!$R$32),"")</f>
        <v/>
      </c>
      <c r="T29" s="68" t="str">
        <f>IF(AND('Mapa final'!$AB$33="Media",'Mapa final'!$AD$33="Menor"),CONCATENATE("R4C",'Mapa final'!$R$33),"")</f>
        <v/>
      </c>
      <c r="U29" s="69" t="str">
        <f>IF(AND('Mapa final'!$AB$34="Media",'Mapa final'!$AD$34="Menor"),CONCATENATE("R4C",'Mapa final'!$R$34),"")</f>
        <v/>
      </c>
      <c r="V29" s="67" t="str">
        <f ca="1">IF(AND('Mapa final'!$AB$29="Media",'Mapa final'!$AD$29="Moderado"),CONCATENATE("R4C",'Mapa final'!$R$29),"")</f>
        <v/>
      </c>
      <c r="W29" s="68" t="str">
        <f ca="1">IF(AND('Mapa final'!$AB$30="Media",'Mapa final'!$AD$30="Moderado"),CONCATENATE("R4C",'Mapa final'!$R$30),"")</f>
        <v/>
      </c>
      <c r="X29" s="68" t="str">
        <f ca="1">IF(AND('Mapa final'!$AB$31="Media",'Mapa final'!$AD$31="Moderado"),CONCATENATE("R4C",'Mapa final'!$R$31),"")</f>
        <v/>
      </c>
      <c r="Y29" s="68" t="str">
        <f ca="1">IF(AND('Mapa final'!$AB$32="Media",'Mapa final'!$AD$32="Moderado"),CONCATENATE("R4C",'Mapa final'!$R$32),"")</f>
        <v/>
      </c>
      <c r="Z29" s="68" t="str">
        <f>IF(AND('Mapa final'!$AB$33="Media",'Mapa final'!$AD$33="Moderado"),CONCATENATE("R4C",'Mapa final'!$R$33),"")</f>
        <v/>
      </c>
      <c r="AA29" s="69" t="str">
        <f>IF(AND('Mapa final'!$AB$34="Media",'Mapa final'!$AD$34="Moderado"),CONCATENATE("R4C",'Mapa final'!$R$34),"")</f>
        <v/>
      </c>
      <c r="AB29" s="51" t="str">
        <f ca="1">IF(AND('Mapa final'!$AB$29="Media",'Mapa final'!$AD$29="Mayor"),CONCATENATE("R4C",'Mapa final'!$R$29),"")</f>
        <v/>
      </c>
      <c r="AC29" s="52" t="str">
        <f ca="1">IF(AND('Mapa final'!$AB$30="Media",'Mapa final'!$AD$30="Mayor"),CONCATENATE("R4C",'Mapa final'!$R$30),"")</f>
        <v/>
      </c>
      <c r="AD29" s="57" t="str">
        <f ca="1">IF(AND('Mapa final'!$AB$31="Media",'Mapa final'!$AD$31="Mayor"),CONCATENATE("R4C",'Mapa final'!$R$31),"")</f>
        <v/>
      </c>
      <c r="AE29" s="57" t="str">
        <f ca="1">IF(AND('Mapa final'!$AB$32="Media",'Mapa final'!$AD$32="Mayor"),CONCATENATE("R4C",'Mapa final'!$R$32),"")</f>
        <v/>
      </c>
      <c r="AF29" s="57" t="str">
        <f>IF(AND('Mapa final'!$AB$33="Media",'Mapa final'!$AD$33="Mayor"),CONCATENATE("R4C",'Mapa final'!$R$33),"")</f>
        <v/>
      </c>
      <c r="AG29" s="53" t="str">
        <f>IF(AND('Mapa final'!$AB$34="Media",'Mapa final'!$AD$34="Mayor"),CONCATENATE("R4C",'Mapa final'!$R$34),"")</f>
        <v/>
      </c>
      <c r="AH29" s="54" t="str">
        <f ca="1">IF(AND('Mapa final'!$AB$29="Media",'Mapa final'!$AD$29="Catastrófico"),CONCATENATE("R4C",'Mapa final'!$R$29),"")</f>
        <v/>
      </c>
      <c r="AI29" s="55" t="str">
        <f ca="1">IF(AND('Mapa final'!$AB$30="Media",'Mapa final'!$AD$30="Catastrófico"),CONCATENATE("R4C",'Mapa final'!$R$30),"")</f>
        <v/>
      </c>
      <c r="AJ29" s="55" t="str">
        <f ca="1">IF(AND('Mapa final'!$AB$31="Media",'Mapa final'!$AD$31="Catastrófico"),CONCATENATE("R4C",'Mapa final'!$R$31),"")</f>
        <v/>
      </c>
      <c r="AK29" s="55" t="str">
        <f ca="1">IF(AND('Mapa final'!$AB$32="Media",'Mapa final'!$AD$32="Catastrófico"),CONCATENATE("R4C",'Mapa final'!$R$32),"")</f>
        <v/>
      </c>
      <c r="AL29" s="55" t="str">
        <f>IF(AND('Mapa final'!$AB$33="Media",'Mapa final'!$AD$33="Catastrófico"),CONCATENATE("R4C",'Mapa final'!$R$33),"")</f>
        <v/>
      </c>
      <c r="AM29" s="56" t="str">
        <f>IF(AND('Mapa final'!$AB$34="Media",'Mapa final'!$AD$34="Catastrófico"),CONCATENATE("R4C",'Mapa final'!$R$34),"")</f>
        <v/>
      </c>
      <c r="AN29" s="83"/>
      <c r="AO29" s="415"/>
      <c r="AP29" s="416"/>
      <c r="AQ29" s="416"/>
      <c r="AR29" s="416"/>
      <c r="AS29" s="416"/>
      <c r="AT29" s="41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84"/>
      <c r="C30" s="284"/>
      <c r="D30" s="285"/>
      <c r="E30" s="385"/>
      <c r="F30" s="386"/>
      <c r="G30" s="386"/>
      <c r="H30" s="386"/>
      <c r="I30" s="401"/>
      <c r="J30" s="67" t="str">
        <f ca="1">IF(AND('Mapa final'!$AB$41="Media",'Mapa final'!$AD$41="Leve"),CONCATENATE("R5C",'Mapa final'!$R$41),"")</f>
        <v/>
      </c>
      <c r="K30" s="68" t="str">
        <f ca="1">IF(AND('Mapa final'!$AB$42="Media",'Mapa final'!$AD$42="Leve"),CONCATENATE("R5C",'Mapa final'!$R$42),"")</f>
        <v/>
      </c>
      <c r="L30" s="68" t="str">
        <f ca="1">IF(AND('Mapa final'!$AB$43="Media",'Mapa final'!$AD$43="Leve"),CONCATENATE("R5C",'Mapa final'!$R$43),"")</f>
        <v/>
      </c>
      <c r="M30" s="68" t="str">
        <f ca="1">IF(AND('Mapa final'!$AB$44="Media",'Mapa final'!$AD$44="Leve"),CONCATENATE("R5C",'Mapa final'!$R$44),"")</f>
        <v/>
      </c>
      <c r="N30" s="68" t="str">
        <f>IF(AND('Mapa final'!$AB$45="Media",'Mapa final'!$AD$45="Leve"),CONCATENATE("R5C",'Mapa final'!$R$45),"")</f>
        <v/>
      </c>
      <c r="O30" s="69" t="str">
        <f>IF(AND('Mapa final'!$AB$46="Media",'Mapa final'!$AD$46="Leve"),CONCATENATE("R5C",'Mapa final'!$R$46),"")</f>
        <v/>
      </c>
      <c r="P30" s="67" t="str">
        <f ca="1">IF(AND('Mapa final'!$AB$41="Media",'Mapa final'!$AD$41="Menor"),CONCATENATE("R5C",'Mapa final'!$R$41),"")</f>
        <v/>
      </c>
      <c r="Q30" s="68" t="str">
        <f ca="1">IF(AND('Mapa final'!$AB$42="Media",'Mapa final'!$AD$42="Menor"),CONCATENATE("R5C",'Mapa final'!$R$42),"")</f>
        <v/>
      </c>
      <c r="R30" s="68" t="str">
        <f ca="1">IF(AND('Mapa final'!$AB$43="Media",'Mapa final'!$AD$43="Menor"),CONCATENATE("R5C",'Mapa final'!$R$43),"")</f>
        <v/>
      </c>
      <c r="S30" s="68" t="str">
        <f ca="1">IF(AND('Mapa final'!$AB$44="Media",'Mapa final'!$AD$44="Menor"),CONCATENATE("R5C",'Mapa final'!$R$44),"")</f>
        <v/>
      </c>
      <c r="T30" s="68" t="str">
        <f>IF(AND('Mapa final'!$AB$45="Media",'Mapa final'!$AD$45="Menor"),CONCATENATE("R5C",'Mapa final'!$R$45),"")</f>
        <v/>
      </c>
      <c r="U30" s="69" t="str">
        <f>IF(AND('Mapa final'!$AB$46="Media",'Mapa final'!$AD$46="Menor"),CONCATENATE("R5C",'Mapa final'!$R$46),"")</f>
        <v/>
      </c>
      <c r="V30" s="67" t="str">
        <f ca="1">IF(AND('Mapa final'!$AB$41="Media",'Mapa final'!$AD$41="Moderado"),CONCATENATE("R5C",'Mapa final'!$R$41),"")</f>
        <v>R5C1</v>
      </c>
      <c r="W30" s="68" t="str">
        <f ca="1">IF(AND('Mapa final'!$AB$42="Media",'Mapa final'!$AD$42="Moderado"),CONCATENATE("R5C",'Mapa final'!$R$42),"")</f>
        <v>R5C2</v>
      </c>
      <c r="X30" s="68" t="str">
        <f ca="1">IF(AND('Mapa final'!$AB$43="Media",'Mapa final'!$AD$43="Moderado"),CONCATENATE("R5C",'Mapa final'!$R$43),"")</f>
        <v/>
      </c>
      <c r="Y30" s="68" t="str">
        <f ca="1">IF(AND('Mapa final'!$AB$44="Media",'Mapa final'!$AD$44="Moderado"),CONCATENATE("R5C",'Mapa final'!$R$44),"")</f>
        <v/>
      </c>
      <c r="Z30" s="68" t="str">
        <f>IF(AND('Mapa final'!$AB$45="Media",'Mapa final'!$AD$45="Moderado"),CONCATENATE("R5C",'Mapa final'!$R$45),"")</f>
        <v/>
      </c>
      <c r="AA30" s="69" t="str">
        <f>IF(AND('Mapa final'!$AB$46="Media",'Mapa final'!$AD$46="Moderado"),CONCATENATE("R5C",'Mapa final'!$R$46),"")</f>
        <v/>
      </c>
      <c r="AB30" s="51" t="str">
        <f ca="1">IF(AND('Mapa final'!$AB$41="Media",'Mapa final'!$AD$41="Mayor"),CONCATENATE("R5C",'Mapa final'!$R$41),"")</f>
        <v/>
      </c>
      <c r="AC30" s="52" t="str">
        <f ca="1">IF(AND('Mapa final'!$AB$42="Media",'Mapa final'!$AD$42="Mayor"),CONCATENATE("R5C",'Mapa final'!$R$42),"")</f>
        <v/>
      </c>
      <c r="AD30" s="57" t="str">
        <f ca="1">IF(AND('Mapa final'!$AB$43="Media",'Mapa final'!$AD$43="Mayor"),CONCATENATE("R5C",'Mapa final'!$R$43),"")</f>
        <v/>
      </c>
      <c r="AE30" s="57" t="str">
        <f ca="1">IF(AND('Mapa final'!$AB$44="Media",'Mapa final'!$AD$44="Mayor"),CONCATENATE("R5C",'Mapa final'!$R$44),"")</f>
        <v/>
      </c>
      <c r="AF30" s="57" t="str">
        <f>IF(AND('Mapa final'!$AB$45="Media",'Mapa final'!$AD$45="Mayor"),CONCATENATE("R5C",'Mapa final'!$R$45),"")</f>
        <v/>
      </c>
      <c r="AG30" s="53" t="str">
        <f>IF(AND('Mapa final'!$AB$46="Media",'Mapa final'!$AD$46="Mayor"),CONCATENATE("R5C",'Mapa final'!$R$46),"")</f>
        <v/>
      </c>
      <c r="AH30" s="54" t="str">
        <f ca="1">IF(AND('Mapa final'!$AB$41="Media",'Mapa final'!$AD$41="Catastrófico"),CONCATENATE("R5C",'Mapa final'!$R$41),"")</f>
        <v/>
      </c>
      <c r="AI30" s="55" t="str">
        <f ca="1">IF(AND('Mapa final'!$AB$42="Media",'Mapa final'!$AD$42="Catastrófico"),CONCATENATE("R5C",'Mapa final'!$R$42),"")</f>
        <v/>
      </c>
      <c r="AJ30" s="55" t="str">
        <f ca="1">IF(AND('Mapa final'!$AB$43="Media",'Mapa final'!$AD$43="Catastrófico"),CONCATENATE("R5C",'Mapa final'!$R$43),"")</f>
        <v/>
      </c>
      <c r="AK30" s="55" t="str">
        <f ca="1">IF(AND('Mapa final'!$AB$44="Media",'Mapa final'!$AD$44="Catastrófico"),CONCATENATE("R5C",'Mapa final'!$R$44),"")</f>
        <v/>
      </c>
      <c r="AL30" s="55" t="str">
        <f>IF(AND('Mapa final'!$AB$45="Media",'Mapa final'!$AD$45="Catastrófico"),CONCATENATE("R5C",'Mapa final'!$R$45),"")</f>
        <v/>
      </c>
      <c r="AM30" s="56" t="str">
        <f>IF(AND('Mapa final'!$AB$46="Media",'Mapa final'!$AD$46="Catastrófico"),CONCATENATE("R5C",'Mapa final'!$R$46),"")</f>
        <v/>
      </c>
      <c r="AN30" s="83"/>
      <c r="AO30" s="415"/>
      <c r="AP30" s="416"/>
      <c r="AQ30" s="416"/>
      <c r="AR30" s="416"/>
      <c r="AS30" s="416"/>
      <c r="AT30" s="41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84"/>
      <c r="C31" s="284"/>
      <c r="D31" s="285"/>
      <c r="E31" s="385"/>
      <c r="F31" s="386"/>
      <c r="G31" s="386"/>
      <c r="H31" s="386"/>
      <c r="I31" s="401"/>
      <c r="J31" s="67" t="e">
        <f>IF(AND('Mapa final'!#REF!="Media",'Mapa final'!#REF!="Leve"),CONCATENATE("R6C",'Mapa final'!#REF!),"")</f>
        <v>#REF!</v>
      </c>
      <c r="K31" s="68" t="e">
        <f>IF(AND('Mapa final'!#REF!="Media",'Mapa final'!#REF!="Leve"),CONCATENATE("R6C",'Mapa final'!#REF!),"")</f>
        <v>#REF!</v>
      </c>
      <c r="L31" s="68" t="e">
        <f>IF(AND('Mapa final'!#REF!="Media",'Mapa final'!#REF!="Leve"),CONCATENATE("R6C",'Mapa final'!#REF!),"")</f>
        <v>#REF!</v>
      </c>
      <c r="M31" s="68" t="e">
        <f>IF(AND('Mapa final'!#REF!="Media",'Mapa final'!#REF!="Leve"),CONCATENATE("R6C",'Mapa final'!#REF!),"")</f>
        <v>#REF!</v>
      </c>
      <c r="N31" s="68" t="e">
        <f>IF(AND('Mapa final'!#REF!="Media",'Mapa final'!#REF!="Leve"),CONCATENATE("R6C",'Mapa final'!#REF!),"")</f>
        <v>#REF!</v>
      </c>
      <c r="O31" s="69" t="e">
        <f>IF(AND('Mapa final'!#REF!="Media",'Mapa final'!#REF!="Leve"),CONCATENATE("R6C",'Mapa final'!#REF!),"")</f>
        <v>#REF!</v>
      </c>
      <c r="P31" s="67" t="e">
        <f>IF(AND('Mapa final'!#REF!="Media",'Mapa final'!#REF!="Menor"),CONCATENATE("R6C",'Mapa final'!#REF!),"")</f>
        <v>#REF!</v>
      </c>
      <c r="Q31" s="68" t="e">
        <f>IF(AND('Mapa final'!#REF!="Media",'Mapa final'!#REF!="Menor"),CONCATENATE("R6C",'Mapa final'!#REF!),"")</f>
        <v>#REF!</v>
      </c>
      <c r="R31" s="68" t="e">
        <f>IF(AND('Mapa final'!#REF!="Media",'Mapa final'!#REF!="Menor"),CONCATENATE("R6C",'Mapa final'!#REF!),"")</f>
        <v>#REF!</v>
      </c>
      <c r="S31" s="68" t="e">
        <f>IF(AND('Mapa final'!#REF!="Media",'Mapa final'!#REF!="Menor"),CONCATENATE("R6C",'Mapa final'!#REF!),"")</f>
        <v>#REF!</v>
      </c>
      <c r="T31" s="68" t="e">
        <f>IF(AND('Mapa final'!#REF!="Media",'Mapa final'!#REF!="Menor"),CONCATENATE("R6C",'Mapa final'!#REF!),"")</f>
        <v>#REF!</v>
      </c>
      <c r="U31" s="69" t="e">
        <f>IF(AND('Mapa final'!#REF!="Media",'Mapa final'!#REF!="Menor"),CONCATENATE("R6C",'Mapa final'!#REF!),"")</f>
        <v>#REF!</v>
      </c>
      <c r="V31" s="67" t="e">
        <f>IF(AND('Mapa final'!#REF!="Media",'Mapa final'!#REF!="Moderado"),CONCATENATE("R6C",'Mapa final'!#REF!),"")</f>
        <v>#REF!</v>
      </c>
      <c r="W31" s="68" t="e">
        <f>IF(AND('Mapa final'!#REF!="Media",'Mapa final'!#REF!="Moderado"),CONCATENATE("R6C",'Mapa final'!#REF!),"")</f>
        <v>#REF!</v>
      </c>
      <c r="X31" s="68" t="e">
        <f>IF(AND('Mapa final'!#REF!="Media",'Mapa final'!#REF!="Moderado"),CONCATENATE("R6C",'Mapa final'!#REF!),"")</f>
        <v>#REF!</v>
      </c>
      <c r="Y31" s="68" t="e">
        <f>IF(AND('Mapa final'!#REF!="Media",'Mapa final'!#REF!="Moderado"),CONCATENATE("R6C",'Mapa final'!#REF!),"")</f>
        <v>#REF!</v>
      </c>
      <c r="Z31" s="68" t="e">
        <f>IF(AND('Mapa final'!#REF!="Media",'Mapa final'!#REF!="Moderado"),CONCATENATE("R6C",'Mapa final'!#REF!),"")</f>
        <v>#REF!</v>
      </c>
      <c r="AA31" s="69" t="e">
        <f>IF(AND('Mapa final'!#REF!="Media",'Mapa final'!#REF!="Moderado"),CONCATENATE("R6C",'Mapa final'!#REF!),"")</f>
        <v>#REF!</v>
      </c>
      <c r="AB31" s="51" t="e">
        <f>IF(AND('Mapa final'!#REF!="Media",'Mapa final'!#REF!="Mayor"),CONCATENATE("R6C",'Mapa final'!#REF!),"")</f>
        <v>#REF!</v>
      </c>
      <c r="AC31" s="52" t="e">
        <f>IF(AND('Mapa final'!#REF!="Media",'Mapa final'!#REF!="Mayor"),CONCATENATE("R6C",'Mapa final'!#REF!),"")</f>
        <v>#REF!</v>
      </c>
      <c r="AD31" s="57" t="e">
        <f>IF(AND('Mapa final'!#REF!="Media",'Mapa final'!#REF!="Mayor"),CONCATENATE("R6C",'Mapa final'!#REF!),"")</f>
        <v>#REF!</v>
      </c>
      <c r="AE31" s="57" t="e">
        <f>IF(AND('Mapa final'!#REF!="Media",'Mapa final'!#REF!="Mayor"),CONCATENATE("R6C",'Mapa final'!#REF!),"")</f>
        <v>#REF!</v>
      </c>
      <c r="AF31" s="57" t="e">
        <f>IF(AND('Mapa final'!#REF!="Media",'Mapa final'!#REF!="Mayor"),CONCATENATE("R6C",'Mapa final'!#REF!),"")</f>
        <v>#REF!</v>
      </c>
      <c r="AG31" s="53" t="e">
        <f>IF(AND('Mapa final'!#REF!="Media",'Mapa final'!#REF!="Mayor"),CONCATENATE("R6C",'Mapa final'!#REF!),"")</f>
        <v>#REF!</v>
      </c>
      <c r="AH31" s="54" t="e">
        <f>IF(AND('Mapa final'!#REF!="Media",'Mapa final'!#REF!="Catastrófico"),CONCATENATE("R6C",'Mapa final'!#REF!),"")</f>
        <v>#REF!</v>
      </c>
      <c r="AI31" s="55" t="e">
        <f>IF(AND('Mapa final'!#REF!="Media",'Mapa final'!#REF!="Catastrófico"),CONCATENATE("R6C",'Mapa final'!#REF!),"")</f>
        <v>#REF!</v>
      </c>
      <c r="AJ31" s="55" t="e">
        <f>IF(AND('Mapa final'!#REF!="Media",'Mapa final'!#REF!="Catastrófico"),CONCATENATE("R6C",'Mapa final'!#REF!),"")</f>
        <v>#REF!</v>
      </c>
      <c r="AK31" s="55" t="e">
        <f>IF(AND('Mapa final'!#REF!="Media",'Mapa final'!#REF!="Catastrófico"),CONCATENATE("R6C",'Mapa final'!#REF!),"")</f>
        <v>#REF!</v>
      </c>
      <c r="AL31" s="55" t="e">
        <f>IF(AND('Mapa final'!#REF!="Media",'Mapa final'!#REF!="Catastrófico"),CONCATENATE("R6C",'Mapa final'!#REF!),"")</f>
        <v>#REF!</v>
      </c>
      <c r="AM31" s="56" t="e">
        <f>IF(AND('Mapa final'!#REF!="Media",'Mapa final'!#REF!="Catastrófico"),CONCATENATE("R6C",'Mapa final'!#REF!),"")</f>
        <v>#REF!</v>
      </c>
      <c r="AN31" s="83"/>
      <c r="AO31" s="415"/>
      <c r="AP31" s="416"/>
      <c r="AQ31" s="416"/>
      <c r="AR31" s="416"/>
      <c r="AS31" s="416"/>
      <c r="AT31" s="41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84"/>
      <c r="C32" s="284"/>
      <c r="D32" s="285"/>
      <c r="E32" s="385"/>
      <c r="F32" s="386"/>
      <c r="G32" s="386"/>
      <c r="H32" s="386"/>
      <c r="I32" s="401"/>
      <c r="J32" s="67" t="e">
        <f>IF(AND('Mapa final'!#REF!="Media",'Mapa final'!#REF!="Leve"),CONCATENATE("R7C",'Mapa final'!#REF!),"")</f>
        <v>#REF!</v>
      </c>
      <c r="K32" s="68" t="e">
        <f>IF(AND('Mapa final'!#REF!="Media",'Mapa final'!#REF!="Leve"),CONCATENATE("R7C",'Mapa final'!#REF!),"")</f>
        <v>#REF!</v>
      </c>
      <c r="L32" s="68" t="e">
        <f>IF(AND('Mapa final'!#REF!="Media",'Mapa final'!#REF!="Leve"),CONCATENATE("R7C",'Mapa final'!#REF!),"")</f>
        <v>#REF!</v>
      </c>
      <c r="M32" s="68" t="e">
        <f>IF(AND('Mapa final'!#REF!="Media",'Mapa final'!#REF!="Leve"),CONCATENATE("R7C",'Mapa final'!#REF!),"")</f>
        <v>#REF!</v>
      </c>
      <c r="N32" s="68" t="e">
        <f>IF(AND('Mapa final'!#REF!="Media",'Mapa final'!#REF!="Leve"),CONCATENATE("R7C",'Mapa final'!#REF!),"")</f>
        <v>#REF!</v>
      </c>
      <c r="O32" s="69" t="e">
        <f>IF(AND('Mapa final'!#REF!="Media",'Mapa final'!#REF!="Leve"),CONCATENATE("R7C",'Mapa final'!#REF!),"")</f>
        <v>#REF!</v>
      </c>
      <c r="P32" s="67" t="e">
        <f>IF(AND('Mapa final'!#REF!="Media",'Mapa final'!#REF!="Menor"),CONCATENATE("R7C",'Mapa final'!#REF!),"")</f>
        <v>#REF!</v>
      </c>
      <c r="Q32" s="68" t="e">
        <f>IF(AND('Mapa final'!#REF!="Media",'Mapa final'!#REF!="Menor"),CONCATENATE("R7C",'Mapa final'!#REF!),"")</f>
        <v>#REF!</v>
      </c>
      <c r="R32" s="68" t="e">
        <f>IF(AND('Mapa final'!#REF!="Media",'Mapa final'!#REF!="Menor"),CONCATENATE("R7C",'Mapa final'!#REF!),"")</f>
        <v>#REF!</v>
      </c>
      <c r="S32" s="68" t="e">
        <f>IF(AND('Mapa final'!#REF!="Media",'Mapa final'!#REF!="Menor"),CONCATENATE("R7C",'Mapa final'!#REF!),"")</f>
        <v>#REF!</v>
      </c>
      <c r="T32" s="68" t="e">
        <f>IF(AND('Mapa final'!#REF!="Media",'Mapa final'!#REF!="Menor"),CONCATENATE("R7C",'Mapa final'!#REF!),"")</f>
        <v>#REF!</v>
      </c>
      <c r="U32" s="69" t="e">
        <f>IF(AND('Mapa final'!#REF!="Media",'Mapa final'!#REF!="Menor"),CONCATENATE("R7C",'Mapa final'!#REF!),"")</f>
        <v>#REF!</v>
      </c>
      <c r="V32" s="67" t="e">
        <f>IF(AND('Mapa final'!#REF!="Media",'Mapa final'!#REF!="Moderado"),CONCATENATE("R7C",'Mapa final'!#REF!),"")</f>
        <v>#REF!</v>
      </c>
      <c r="W32" s="68" t="e">
        <f>IF(AND('Mapa final'!#REF!="Media",'Mapa final'!#REF!="Moderado"),CONCATENATE("R7C",'Mapa final'!#REF!),"")</f>
        <v>#REF!</v>
      </c>
      <c r="X32" s="68" t="e">
        <f>IF(AND('Mapa final'!#REF!="Media",'Mapa final'!#REF!="Moderado"),CONCATENATE("R7C",'Mapa final'!#REF!),"")</f>
        <v>#REF!</v>
      </c>
      <c r="Y32" s="68" t="e">
        <f>IF(AND('Mapa final'!#REF!="Media",'Mapa final'!#REF!="Moderado"),CONCATENATE("R7C",'Mapa final'!#REF!),"")</f>
        <v>#REF!</v>
      </c>
      <c r="Z32" s="68" t="e">
        <f>IF(AND('Mapa final'!#REF!="Media",'Mapa final'!#REF!="Moderado"),CONCATENATE("R7C",'Mapa final'!#REF!),"")</f>
        <v>#REF!</v>
      </c>
      <c r="AA32" s="69" t="e">
        <f>IF(AND('Mapa final'!#REF!="Media",'Mapa final'!#REF!="Moderado"),CONCATENATE("R7C",'Mapa final'!#REF!),"")</f>
        <v>#REF!</v>
      </c>
      <c r="AB32" s="51" t="e">
        <f>IF(AND('Mapa final'!#REF!="Media",'Mapa final'!#REF!="Mayor"),CONCATENATE("R7C",'Mapa final'!#REF!),"")</f>
        <v>#REF!</v>
      </c>
      <c r="AC32" s="52" t="e">
        <f>IF(AND('Mapa final'!#REF!="Media",'Mapa final'!#REF!="Mayor"),CONCATENATE("R7C",'Mapa final'!#REF!),"")</f>
        <v>#REF!</v>
      </c>
      <c r="AD32" s="57" t="e">
        <f>IF(AND('Mapa final'!#REF!="Media",'Mapa final'!#REF!="Mayor"),CONCATENATE("R7C",'Mapa final'!#REF!),"")</f>
        <v>#REF!</v>
      </c>
      <c r="AE32" s="57" t="e">
        <f>IF(AND('Mapa final'!#REF!="Media",'Mapa final'!#REF!="Mayor"),CONCATENATE("R7C",'Mapa final'!#REF!),"")</f>
        <v>#REF!</v>
      </c>
      <c r="AF32" s="57" t="e">
        <f>IF(AND('Mapa final'!#REF!="Media",'Mapa final'!#REF!="Mayor"),CONCATENATE("R7C",'Mapa final'!#REF!),"")</f>
        <v>#REF!</v>
      </c>
      <c r="AG32" s="53" t="e">
        <f>IF(AND('Mapa final'!#REF!="Media",'Mapa final'!#REF!="Mayor"),CONCATENATE("R7C",'Mapa final'!#REF!),"")</f>
        <v>#REF!</v>
      </c>
      <c r="AH32" s="54" t="e">
        <f>IF(AND('Mapa final'!#REF!="Media",'Mapa final'!#REF!="Catastrófico"),CONCATENATE("R7C",'Mapa final'!#REF!),"")</f>
        <v>#REF!</v>
      </c>
      <c r="AI32" s="55" t="e">
        <f>IF(AND('Mapa final'!#REF!="Media",'Mapa final'!#REF!="Catastrófico"),CONCATENATE("R7C",'Mapa final'!#REF!),"")</f>
        <v>#REF!</v>
      </c>
      <c r="AJ32" s="55" t="e">
        <f>IF(AND('Mapa final'!#REF!="Media",'Mapa final'!#REF!="Catastrófico"),CONCATENATE("R7C",'Mapa final'!#REF!),"")</f>
        <v>#REF!</v>
      </c>
      <c r="AK32" s="55" t="e">
        <f>IF(AND('Mapa final'!#REF!="Media",'Mapa final'!#REF!="Catastrófico"),CONCATENATE("R7C",'Mapa final'!#REF!),"")</f>
        <v>#REF!</v>
      </c>
      <c r="AL32" s="55" t="e">
        <f>IF(AND('Mapa final'!#REF!="Media",'Mapa final'!#REF!="Catastrófico"),CONCATENATE("R7C",'Mapa final'!#REF!),"")</f>
        <v>#REF!</v>
      </c>
      <c r="AM32" s="56" t="e">
        <f>IF(AND('Mapa final'!#REF!="Media",'Mapa final'!#REF!="Catastrófico"),CONCATENATE("R7C",'Mapa final'!#REF!),"")</f>
        <v>#REF!</v>
      </c>
      <c r="AN32" s="83"/>
      <c r="AO32" s="415"/>
      <c r="AP32" s="416"/>
      <c r="AQ32" s="416"/>
      <c r="AR32" s="416"/>
      <c r="AS32" s="416"/>
      <c r="AT32" s="41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84"/>
      <c r="C33" s="284"/>
      <c r="D33" s="285"/>
      <c r="E33" s="385"/>
      <c r="F33" s="386"/>
      <c r="G33" s="386"/>
      <c r="H33" s="386"/>
      <c r="I33" s="401"/>
      <c r="J33" s="67" t="str">
        <f ca="1">IF(AND('Mapa final'!$AB$47="Media",'Mapa final'!$AD$47="Leve"),CONCATENATE("R8C",'Mapa final'!$R$47),"")</f>
        <v/>
      </c>
      <c r="K33" s="68" t="str">
        <f>IF(AND('Mapa final'!$AB$48="Media",'Mapa final'!$AD$48="Leve"),CONCATENATE("R8C",'Mapa final'!$R$48),"")</f>
        <v/>
      </c>
      <c r="L33" s="68" t="str">
        <f>IF(AND('Mapa final'!$AB$49="Media",'Mapa final'!$AD$49="Leve"),CONCATENATE("R8C",'Mapa final'!$R$49),"")</f>
        <v/>
      </c>
      <c r="M33" s="68" t="str">
        <f>IF(AND('Mapa final'!$AB$50="Media",'Mapa final'!$AD$50="Leve"),CONCATENATE("R8C",'Mapa final'!$R$50),"")</f>
        <v/>
      </c>
      <c r="N33" s="68" t="str">
        <f>IF(AND('Mapa final'!$AB$51="Media",'Mapa final'!$AD$51="Leve"),CONCATENATE("R8C",'Mapa final'!$R$51),"")</f>
        <v/>
      </c>
      <c r="O33" s="69" t="str">
        <f>IF(AND('Mapa final'!$AB$52="Media",'Mapa final'!$AD$52="Leve"),CONCATENATE("R8C",'Mapa final'!$R$52),"")</f>
        <v/>
      </c>
      <c r="P33" s="67" t="str">
        <f ca="1">IF(AND('Mapa final'!$AB$47="Media",'Mapa final'!$AD$47="Menor"),CONCATENATE("R8C",'Mapa final'!$R$47),"")</f>
        <v/>
      </c>
      <c r="Q33" s="68" t="str">
        <f>IF(AND('Mapa final'!$AB$48="Media",'Mapa final'!$AD$48="Menor"),CONCATENATE("R8C",'Mapa final'!$R$48),"")</f>
        <v/>
      </c>
      <c r="R33" s="68" t="str">
        <f>IF(AND('Mapa final'!$AB$49="Media",'Mapa final'!$AD$49="Menor"),CONCATENATE("R8C",'Mapa final'!$R$49),"")</f>
        <v/>
      </c>
      <c r="S33" s="68" t="str">
        <f>IF(AND('Mapa final'!$AB$50="Media",'Mapa final'!$AD$50="Menor"),CONCATENATE("R8C",'Mapa final'!$R$50),"")</f>
        <v/>
      </c>
      <c r="T33" s="68" t="str">
        <f>IF(AND('Mapa final'!$AB$51="Media",'Mapa final'!$AD$51="Menor"),CONCATENATE("R8C",'Mapa final'!$R$51),"")</f>
        <v/>
      </c>
      <c r="U33" s="69" t="str">
        <f>IF(AND('Mapa final'!$AB$52="Media",'Mapa final'!$AD$52="Menor"),CONCATENATE("R8C",'Mapa final'!$R$52),"")</f>
        <v/>
      </c>
      <c r="V33" s="67" t="str">
        <f ca="1">IF(AND('Mapa final'!$AB$47="Media",'Mapa final'!$AD$47="Moderado"),CONCATENATE("R8C",'Mapa final'!$R$47),"")</f>
        <v/>
      </c>
      <c r="W33" s="68" t="str">
        <f>IF(AND('Mapa final'!$AB$48="Media",'Mapa final'!$AD$48="Moderado"),CONCATENATE("R8C",'Mapa final'!$R$48),"")</f>
        <v/>
      </c>
      <c r="X33" s="68" t="str">
        <f>IF(AND('Mapa final'!$AB$49="Media",'Mapa final'!$AD$49="Moderado"),CONCATENATE("R8C",'Mapa final'!$R$49),"")</f>
        <v/>
      </c>
      <c r="Y33" s="68" t="str">
        <f>IF(AND('Mapa final'!$AB$50="Media",'Mapa final'!$AD$50="Moderado"),CONCATENATE("R8C",'Mapa final'!$R$50),"")</f>
        <v/>
      </c>
      <c r="Z33" s="68" t="str">
        <f>IF(AND('Mapa final'!$AB$51="Media",'Mapa final'!$AD$51="Moderado"),CONCATENATE("R8C",'Mapa final'!$R$51),"")</f>
        <v/>
      </c>
      <c r="AA33" s="69" t="str">
        <f>IF(AND('Mapa final'!$AB$52="Media",'Mapa final'!$AD$52="Moderado"),CONCATENATE("R8C",'Mapa final'!$R$52),"")</f>
        <v/>
      </c>
      <c r="AB33" s="51" t="str">
        <f ca="1">IF(AND('Mapa final'!$AB$47="Media",'Mapa final'!$AD$47="Mayor"),CONCATENATE("R8C",'Mapa final'!$R$47),"")</f>
        <v/>
      </c>
      <c r="AC33" s="52" t="str">
        <f>IF(AND('Mapa final'!$AB$48="Media",'Mapa final'!$AD$48="Mayor"),CONCATENATE("R8C",'Mapa final'!$R$48),"")</f>
        <v/>
      </c>
      <c r="AD33" s="57" t="str">
        <f>IF(AND('Mapa final'!$AB$49="Media",'Mapa final'!$AD$49="Mayor"),CONCATENATE("R8C",'Mapa final'!$R$49),"")</f>
        <v/>
      </c>
      <c r="AE33" s="57" t="str">
        <f>IF(AND('Mapa final'!$AB$50="Media",'Mapa final'!$AD$50="Mayor"),CONCATENATE("R8C",'Mapa final'!$R$50),"")</f>
        <v/>
      </c>
      <c r="AF33" s="57" t="str">
        <f>IF(AND('Mapa final'!$AB$51="Media",'Mapa final'!$AD$51="Mayor"),CONCATENATE("R8C",'Mapa final'!$R$51),"")</f>
        <v/>
      </c>
      <c r="AG33" s="53" t="str">
        <f>IF(AND('Mapa final'!$AB$52="Media",'Mapa final'!$AD$52="Mayor"),CONCATENATE("R8C",'Mapa final'!$R$52),"")</f>
        <v/>
      </c>
      <c r="AH33" s="54" t="str">
        <f ca="1">IF(AND('Mapa final'!$AB$47="Media",'Mapa final'!$AD$47="Catastrófico"),CONCATENATE("R8C",'Mapa final'!$R$47),"")</f>
        <v/>
      </c>
      <c r="AI33" s="55" t="str">
        <f>IF(AND('Mapa final'!$AB$48="Media",'Mapa final'!$AD$48="Catastrófico"),CONCATENATE("R8C",'Mapa final'!$R$48),"")</f>
        <v/>
      </c>
      <c r="AJ33" s="55" t="str">
        <f>IF(AND('Mapa final'!$AB$49="Media",'Mapa final'!$AD$49="Catastrófico"),CONCATENATE("R8C",'Mapa final'!$R$49),"")</f>
        <v/>
      </c>
      <c r="AK33" s="55" t="str">
        <f>IF(AND('Mapa final'!$AB$50="Media",'Mapa final'!$AD$50="Catastrófico"),CONCATENATE("R8C",'Mapa final'!$R$50),"")</f>
        <v/>
      </c>
      <c r="AL33" s="55" t="str">
        <f>IF(AND('Mapa final'!$AB$51="Media",'Mapa final'!$AD$51="Catastrófico"),CONCATENATE("R8C",'Mapa final'!$R$51),"")</f>
        <v/>
      </c>
      <c r="AM33" s="56" t="str">
        <f>IF(AND('Mapa final'!$AB$52="Media",'Mapa final'!$AD$52="Catastrófico"),CONCATENATE("R8C",'Mapa final'!$R$52),"")</f>
        <v/>
      </c>
      <c r="AN33" s="83"/>
      <c r="AO33" s="415"/>
      <c r="AP33" s="416"/>
      <c r="AQ33" s="416"/>
      <c r="AR33" s="416"/>
      <c r="AS33" s="416"/>
      <c r="AT33" s="41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84"/>
      <c r="C34" s="284"/>
      <c r="D34" s="285"/>
      <c r="E34" s="385"/>
      <c r="F34" s="386"/>
      <c r="G34" s="386"/>
      <c r="H34" s="386"/>
      <c r="I34" s="401"/>
      <c r="J34" s="67" t="str">
        <f ca="1">IF(AND('Mapa final'!$AB$59="Media",'Mapa final'!$AD$59="Leve"),CONCATENATE("R9C",'Mapa final'!$R$59),"")</f>
        <v/>
      </c>
      <c r="K34" s="68" t="str">
        <f ca="1">IF(AND('Mapa final'!$AB$60="Media",'Mapa final'!$AD$60="Leve"),CONCATENATE("R9C",'Mapa final'!$R$60),"")</f>
        <v/>
      </c>
      <c r="L34" s="68" t="str">
        <f>IF(AND('Mapa final'!$AB$61="Media",'Mapa final'!$AD$61="Leve"),CONCATENATE("R9C",'Mapa final'!$R$61),"")</f>
        <v/>
      </c>
      <c r="M34" s="68" t="str">
        <f>IF(AND('Mapa final'!$AB$62="Media",'Mapa final'!$AD$62="Leve"),CONCATENATE("R9C",'Mapa final'!$R$62),"")</f>
        <v/>
      </c>
      <c r="N34" s="68" t="str">
        <f>IF(AND('Mapa final'!$AB$63="Media",'Mapa final'!$AD$63="Leve"),CONCATENATE("R9C",'Mapa final'!$R$63),"")</f>
        <v/>
      </c>
      <c r="O34" s="69" t="str">
        <f>IF(AND('Mapa final'!$AB$70="Media",'Mapa final'!$AD$70="Leve"),CONCATENATE("R9C",'Mapa final'!$R$70),"")</f>
        <v/>
      </c>
      <c r="P34" s="67" t="str">
        <f ca="1">IF(AND('Mapa final'!$AB$59="Media",'Mapa final'!$AD$59="Menor"),CONCATENATE("R9C",'Mapa final'!$R$59),"")</f>
        <v>R9C1</v>
      </c>
      <c r="Q34" s="68" t="str">
        <f ca="1">IF(AND('Mapa final'!$AB$60="Media",'Mapa final'!$AD$60="Menor"),CONCATENATE("R9C",'Mapa final'!$R$60),"")</f>
        <v/>
      </c>
      <c r="R34" s="68" t="str">
        <f>IF(AND('Mapa final'!$AB$61="Media",'Mapa final'!$AD$61="Menor"),CONCATENATE("R9C",'Mapa final'!$R$61),"")</f>
        <v/>
      </c>
      <c r="S34" s="68" t="str">
        <f>IF(AND('Mapa final'!$AB$62="Media",'Mapa final'!$AD$62="Menor"),CONCATENATE("R9C",'Mapa final'!$R$62),"")</f>
        <v/>
      </c>
      <c r="T34" s="68" t="str">
        <f>IF(AND('Mapa final'!$AB$63="Media",'Mapa final'!$AD$63="Menor"),CONCATENATE("R9C",'Mapa final'!$R$63),"")</f>
        <v/>
      </c>
      <c r="U34" s="69" t="str">
        <f>IF(AND('Mapa final'!$AB$70="Media",'Mapa final'!$AD$70="Menor"),CONCATENATE("R9C",'Mapa final'!$R$70),"")</f>
        <v/>
      </c>
      <c r="V34" s="67" t="str">
        <f ca="1">IF(AND('Mapa final'!$AB$59="Media",'Mapa final'!$AD$59="Moderado"),CONCATENATE("R9C",'Mapa final'!$R$59),"")</f>
        <v/>
      </c>
      <c r="W34" s="68" t="str">
        <f ca="1">IF(AND('Mapa final'!$AB$60="Media",'Mapa final'!$AD$60="Moderado"),CONCATENATE("R9C",'Mapa final'!$R$60),"")</f>
        <v/>
      </c>
      <c r="X34" s="68" t="str">
        <f>IF(AND('Mapa final'!$AB$61="Media",'Mapa final'!$AD$61="Moderado"),CONCATENATE("R9C",'Mapa final'!$R$61),"")</f>
        <v/>
      </c>
      <c r="Y34" s="68" t="str">
        <f>IF(AND('Mapa final'!$AB$62="Media",'Mapa final'!$AD$62="Moderado"),CONCATENATE("R9C",'Mapa final'!$R$62),"")</f>
        <v/>
      </c>
      <c r="Z34" s="68" t="str">
        <f>IF(AND('Mapa final'!$AB$63="Media",'Mapa final'!$AD$63="Moderado"),CONCATENATE("R9C",'Mapa final'!$R$63),"")</f>
        <v/>
      </c>
      <c r="AA34" s="69" t="str">
        <f>IF(AND('Mapa final'!$AB$70="Media",'Mapa final'!$AD$70="Moderado"),CONCATENATE("R9C",'Mapa final'!$R$70),"")</f>
        <v/>
      </c>
      <c r="AB34" s="51" t="str">
        <f ca="1">IF(AND('Mapa final'!$AB$59="Media",'Mapa final'!$AD$59="Mayor"),CONCATENATE("R9C",'Mapa final'!$R$59),"")</f>
        <v/>
      </c>
      <c r="AC34" s="52" t="str">
        <f ca="1">IF(AND('Mapa final'!$AB$60="Media",'Mapa final'!$AD$60="Mayor"),CONCATENATE("R9C",'Mapa final'!$R$60),"")</f>
        <v/>
      </c>
      <c r="AD34" s="57" t="str">
        <f>IF(AND('Mapa final'!$AB$61="Media",'Mapa final'!$AD$61="Mayor"),CONCATENATE("R9C",'Mapa final'!$R$61),"")</f>
        <v/>
      </c>
      <c r="AE34" s="57" t="str">
        <f>IF(AND('Mapa final'!$AB$62="Media",'Mapa final'!$AD$62="Mayor"),CONCATENATE("R9C",'Mapa final'!$R$62),"")</f>
        <v/>
      </c>
      <c r="AF34" s="57" t="str">
        <f>IF(AND('Mapa final'!$AB$63="Media",'Mapa final'!$AD$63="Mayor"),CONCATENATE("R9C",'Mapa final'!$R$63),"")</f>
        <v/>
      </c>
      <c r="AG34" s="53" t="str">
        <f>IF(AND('Mapa final'!$AB$70="Media",'Mapa final'!$AD$70="Mayor"),CONCATENATE("R9C",'Mapa final'!$R$70),"")</f>
        <v/>
      </c>
      <c r="AH34" s="54" t="str">
        <f ca="1">IF(AND('Mapa final'!$AB$59="Media",'Mapa final'!$AD$59="Catastrófico"),CONCATENATE("R9C",'Mapa final'!$R$59),"")</f>
        <v/>
      </c>
      <c r="AI34" s="55" t="str">
        <f ca="1">IF(AND('Mapa final'!$AB$60="Media",'Mapa final'!$AD$60="Catastrófico"),CONCATENATE("R9C",'Mapa final'!$R$60),"")</f>
        <v/>
      </c>
      <c r="AJ34" s="55" t="str">
        <f>IF(AND('Mapa final'!$AB$61="Media",'Mapa final'!$AD$61="Catastrófico"),CONCATENATE("R9C",'Mapa final'!$R$61),"")</f>
        <v/>
      </c>
      <c r="AK34" s="55" t="str">
        <f>IF(AND('Mapa final'!$AB$62="Media",'Mapa final'!$AD$62="Catastrófico"),CONCATENATE("R9C",'Mapa final'!$R$62),"")</f>
        <v/>
      </c>
      <c r="AL34" s="55" t="str">
        <f>IF(AND('Mapa final'!$AB$63="Media",'Mapa final'!$AD$63="Catastrófico"),CONCATENATE("R9C",'Mapa final'!$R$63),"")</f>
        <v/>
      </c>
      <c r="AM34" s="56" t="str">
        <f>IF(AND('Mapa final'!$AB$70="Media",'Mapa final'!$AD$70="Catastrófico"),CONCATENATE("R9C",'Mapa final'!$R$70),"")</f>
        <v/>
      </c>
      <c r="AN34" s="83"/>
      <c r="AO34" s="415"/>
      <c r="AP34" s="416"/>
      <c r="AQ34" s="416"/>
      <c r="AR34" s="416"/>
      <c r="AS34" s="416"/>
      <c r="AT34" s="41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84"/>
      <c r="C35" s="284"/>
      <c r="D35" s="285"/>
      <c r="E35" s="387"/>
      <c r="F35" s="388"/>
      <c r="G35" s="388"/>
      <c r="H35" s="388"/>
      <c r="I35" s="402"/>
      <c r="J35" s="67" t="str">
        <f ca="1">IF(AND('Mapa final'!$AB$71="Media",'Mapa final'!$AD$71="Leve"),CONCATENATE("R10C",'Mapa final'!$R$71),"")</f>
        <v/>
      </c>
      <c r="K35" s="68" t="str">
        <f ca="1">IF(AND('Mapa final'!$AB$72="Media",'Mapa final'!$AD$72="Leve"),CONCATENATE("R10C",'Mapa final'!$R$72),"")</f>
        <v/>
      </c>
      <c r="L35" s="68" t="str">
        <f ca="1">IF(AND('Mapa final'!$AB$73="Media",'Mapa final'!$AD$73="Leve"),CONCATENATE("R10C",'Mapa final'!$R$73),"")</f>
        <v/>
      </c>
      <c r="M35" s="68" t="str">
        <f>IF(AND('Mapa final'!$AB$74="Media",'Mapa final'!$AD$74="Leve"),CONCATENATE("R10C",'Mapa final'!$R$74),"")</f>
        <v/>
      </c>
      <c r="N35" s="68" t="str">
        <f>IF(AND('Mapa final'!$AB$75="Media",'Mapa final'!$AD$75="Leve"),CONCATENATE("R10C",'Mapa final'!$R$75),"")</f>
        <v/>
      </c>
      <c r="O35" s="69" t="str">
        <f>IF(AND('Mapa final'!$AB$76="Media",'Mapa final'!$AD$76="Leve"),CONCATENATE("R10C",'Mapa final'!$R$76),"")</f>
        <v/>
      </c>
      <c r="P35" s="67" t="str">
        <f ca="1">IF(AND('Mapa final'!$AB$71="Media",'Mapa final'!$AD$71="Menor"),CONCATENATE("R10C",'Mapa final'!$R$71),"")</f>
        <v/>
      </c>
      <c r="Q35" s="68" t="str">
        <f ca="1">IF(AND('Mapa final'!$AB$72="Media",'Mapa final'!$AD$72="Menor"),CONCATENATE("R10C",'Mapa final'!$R$72),"")</f>
        <v/>
      </c>
      <c r="R35" s="68" t="str">
        <f ca="1">IF(AND('Mapa final'!$AB$73="Media",'Mapa final'!$AD$73="Menor"),CONCATENATE("R10C",'Mapa final'!$R$73),"")</f>
        <v/>
      </c>
      <c r="S35" s="68" t="str">
        <f>IF(AND('Mapa final'!$AB$74="Media",'Mapa final'!$AD$74="Menor"),CONCATENATE("R10C",'Mapa final'!$R$74),"")</f>
        <v/>
      </c>
      <c r="T35" s="68" t="str">
        <f>IF(AND('Mapa final'!$AB$75="Media",'Mapa final'!$AD$75="Menor"),CONCATENATE("R10C",'Mapa final'!$R$75),"")</f>
        <v/>
      </c>
      <c r="U35" s="69" t="str">
        <f>IF(AND('Mapa final'!$AB$76="Media",'Mapa final'!$AD$76="Menor"),CONCATENATE("R10C",'Mapa final'!$R$76),"")</f>
        <v/>
      </c>
      <c r="V35" s="67" t="str">
        <f ca="1">IF(AND('Mapa final'!$AB$71="Media",'Mapa final'!$AD$71="Moderado"),CONCATENATE("R10C",'Mapa final'!$R$71),"")</f>
        <v/>
      </c>
      <c r="W35" s="68" t="str">
        <f ca="1">IF(AND('Mapa final'!$AB$72="Media",'Mapa final'!$AD$72="Moderado"),CONCATENATE("R10C",'Mapa final'!$R$72),"")</f>
        <v/>
      </c>
      <c r="X35" s="68" t="str">
        <f ca="1">IF(AND('Mapa final'!$AB$73="Media",'Mapa final'!$AD$73="Moderado"),CONCATENATE("R10C",'Mapa final'!$R$73),"")</f>
        <v/>
      </c>
      <c r="Y35" s="68" t="str">
        <f>IF(AND('Mapa final'!$AB$74="Media",'Mapa final'!$AD$74="Moderado"),CONCATENATE("R10C",'Mapa final'!$R$74),"")</f>
        <v/>
      </c>
      <c r="Z35" s="68" t="str">
        <f>IF(AND('Mapa final'!$AB$75="Media",'Mapa final'!$AD$75="Moderado"),CONCATENATE("R10C",'Mapa final'!$R$75),"")</f>
        <v/>
      </c>
      <c r="AA35" s="69" t="str">
        <f>IF(AND('Mapa final'!$AB$76="Media",'Mapa final'!$AD$76="Moderado"),CONCATENATE("R10C",'Mapa final'!$R$76),"")</f>
        <v/>
      </c>
      <c r="AB35" s="58" t="str">
        <f ca="1">IF(AND('Mapa final'!$AB$71="Media",'Mapa final'!$AD$71="Mayor"),CONCATENATE("R10C",'Mapa final'!$R$71),"")</f>
        <v/>
      </c>
      <c r="AC35" s="59" t="str">
        <f ca="1">IF(AND('Mapa final'!$AB$72="Media",'Mapa final'!$AD$72="Mayor"),CONCATENATE("R10C",'Mapa final'!$R$72),"")</f>
        <v/>
      </c>
      <c r="AD35" s="59" t="str">
        <f ca="1">IF(AND('Mapa final'!$AB$73="Media",'Mapa final'!$AD$73="Mayor"),CONCATENATE("R10C",'Mapa final'!$R$73),"")</f>
        <v/>
      </c>
      <c r="AE35" s="59" t="str">
        <f>IF(AND('Mapa final'!$AB$74="Media",'Mapa final'!$AD$74="Mayor"),CONCATENATE("R10C",'Mapa final'!$R$74),"")</f>
        <v/>
      </c>
      <c r="AF35" s="59" t="str">
        <f>IF(AND('Mapa final'!$AB$75="Media",'Mapa final'!$AD$75="Mayor"),CONCATENATE("R10C",'Mapa final'!$R$75),"")</f>
        <v/>
      </c>
      <c r="AG35" s="60" t="str">
        <f>IF(AND('Mapa final'!$AB$76="Media",'Mapa final'!$AD$76="Mayor"),CONCATENATE("R10C",'Mapa final'!$R$76),"")</f>
        <v/>
      </c>
      <c r="AH35" s="61" t="str">
        <f ca="1">IF(AND('Mapa final'!$AB$71="Media",'Mapa final'!$AD$71="Catastrófico"),CONCATENATE("R10C",'Mapa final'!$R$71),"")</f>
        <v/>
      </c>
      <c r="AI35" s="62" t="str">
        <f ca="1">IF(AND('Mapa final'!$AB$72="Media",'Mapa final'!$AD$72="Catastrófico"),CONCATENATE("R10C",'Mapa final'!$R$72),"")</f>
        <v/>
      </c>
      <c r="AJ35" s="62" t="str">
        <f ca="1">IF(AND('Mapa final'!$AB$73="Media",'Mapa final'!$AD$73="Catastrófico"),CONCATENATE("R10C",'Mapa final'!$R$73),"")</f>
        <v/>
      </c>
      <c r="AK35" s="62" t="str">
        <f>IF(AND('Mapa final'!$AB$74="Media",'Mapa final'!$AD$74="Catastrófico"),CONCATENATE("R10C",'Mapa final'!$R$74),"")</f>
        <v/>
      </c>
      <c r="AL35" s="62" t="str">
        <f>IF(AND('Mapa final'!$AB$75="Media",'Mapa final'!$AD$75="Catastrófico"),CONCATENATE("R10C",'Mapa final'!$R$75),"")</f>
        <v/>
      </c>
      <c r="AM35" s="63" t="str">
        <f>IF(AND('Mapa final'!$AB$76="Media",'Mapa final'!$AD$76="Catastrófico"),CONCATENATE("R10C",'Mapa final'!$R$76),"")</f>
        <v/>
      </c>
      <c r="AN35" s="83"/>
      <c r="AO35" s="418"/>
      <c r="AP35" s="419"/>
      <c r="AQ35" s="419"/>
      <c r="AR35" s="419"/>
      <c r="AS35" s="419"/>
      <c r="AT35" s="42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84"/>
      <c r="C36" s="284"/>
      <c r="D36" s="285"/>
      <c r="E36" s="381" t="s">
        <v>106</v>
      </c>
      <c r="F36" s="382"/>
      <c r="G36" s="382"/>
      <c r="H36" s="382"/>
      <c r="I36" s="382"/>
      <c r="J36" s="73" t="str">
        <f ca="1">IF(AND('Mapa final'!$AB$11="Baja",'Mapa final'!$AD$11="Leve"),CONCATENATE("R1C",'Mapa final'!$R$11),"")</f>
        <v/>
      </c>
      <c r="K36" s="74" t="str">
        <f ca="1">IF(AND('Mapa final'!$AB$12="Baja",'Mapa final'!$AD$12="Leve"),CONCATENATE("R1C",'Mapa final'!$R$12),"")</f>
        <v/>
      </c>
      <c r="L36" s="74" t="str">
        <f>IF(AND('Mapa final'!$AB$13="Baja",'Mapa final'!$AD$13="Leve"),CONCATENATE("R1C",'Mapa final'!$R$13),"")</f>
        <v/>
      </c>
      <c r="M36" s="74" t="str">
        <f>IF(AND('Mapa final'!$AB$14="Baja",'Mapa final'!$AD$14="Leve"),CONCATENATE("R1C",'Mapa final'!$R$14),"")</f>
        <v/>
      </c>
      <c r="N36" s="74" t="str">
        <f>IF(AND('Mapa final'!$AB$15="Baja",'Mapa final'!$AD$15="Leve"),CONCATENATE("R1C",'Mapa final'!$R$15),"")</f>
        <v/>
      </c>
      <c r="O36" s="75" t="str">
        <f>IF(AND('Mapa final'!$AB$16="Baja",'Mapa final'!$AD$16="Leve"),CONCATENATE("R1C",'Mapa final'!$R$16),"")</f>
        <v/>
      </c>
      <c r="P36" s="64" t="str">
        <f ca="1">IF(AND('Mapa final'!$AB$11="Baja",'Mapa final'!$AD$11="Menor"),CONCATENATE("R1C",'Mapa final'!$R$11),"")</f>
        <v/>
      </c>
      <c r="Q36" s="65" t="str">
        <f ca="1">IF(AND('Mapa final'!$AB$12="Baja",'Mapa final'!$AD$12="Menor"),CONCATENATE("R1C",'Mapa final'!$R$12),"")</f>
        <v/>
      </c>
      <c r="R36" s="65" t="str">
        <f>IF(AND('Mapa final'!$AB$13="Baja",'Mapa final'!$AD$13="Menor"),CONCATENATE("R1C",'Mapa final'!$R$13),"")</f>
        <v/>
      </c>
      <c r="S36" s="65" t="str">
        <f>IF(AND('Mapa final'!$AB$14="Baja",'Mapa final'!$AD$14="Menor"),CONCATENATE("R1C",'Mapa final'!$R$14),"")</f>
        <v/>
      </c>
      <c r="T36" s="65" t="str">
        <f>IF(AND('Mapa final'!$AB$15="Baja",'Mapa final'!$AD$15="Menor"),CONCATENATE("R1C",'Mapa final'!$R$15),"")</f>
        <v/>
      </c>
      <c r="U36" s="66" t="str">
        <f>IF(AND('Mapa final'!$AB$16="Baja",'Mapa final'!$AD$16="Menor"),CONCATENATE("R1C",'Mapa final'!$R$16),"")</f>
        <v/>
      </c>
      <c r="V36" s="64" t="str">
        <f ca="1">IF(AND('Mapa final'!$AB$11="Baja",'Mapa final'!$AD$11="Moderado"),CONCATENATE("R1C",'Mapa final'!$R$11),"")</f>
        <v/>
      </c>
      <c r="W36" s="65" t="str">
        <f ca="1">IF(AND('Mapa final'!$AB$12="Baja",'Mapa final'!$AD$12="Moderado"),CONCATENATE("R1C",'Mapa final'!$R$12),"")</f>
        <v/>
      </c>
      <c r="X36" s="65" t="str">
        <f>IF(AND('Mapa final'!$AB$13="Baja",'Mapa final'!$AD$13="Moderado"),CONCATENATE("R1C",'Mapa final'!$R$13),"")</f>
        <v/>
      </c>
      <c r="Y36" s="65" t="str">
        <f>IF(AND('Mapa final'!$AB$14="Baja",'Mapa final'!$AD$14="Moderado"),CONCATENATE("R1C",'Mapa final'!$R$14),"")</f>
        <v/>
      </c>
      <c r="Z36" s="65" t="str">
        <f>IF(AND('Mapa final'!$AB$15="Baja",'Mapa final'!$AD$15="Moderado"),CONCATENATE("R1C",'Mapa final'!$R$15),"")</f>
        <v/>
      </c>
      <c r="AA36" s="66" t="str">
        <f>IF(AND('Mapa final'!$AB$16="Baja",'Mapa final'!$AD$16="Moderado"),CONCATENATE("R1C",'Mapa final'!$R$16),"")</f>
        <v/>
      </c>
      <c r="AB36" s="45" t="str">
        <f ca="1">IF(AND('Mapa final'!$AB$11="Baja",'Mapa final'!$AD$11="Mayor"),CONCATENATE("R1C",'Mapa final'!$R$11),"")</f>
        <v/>
      </c>
      <c r="AC36" s="46" t="str">
        <f ca="1">IF(AND('Mapa final'!$AB$12="Baja",'Mapa final'!$AD$12="Mayor"),CONCATENATE("R1C",'Mapa final'!$R$12),"")</f>
        <v/>
      </c>
      <c r="AD36" s="46" t="str">
        <f>IF(AND('Mapa final'!$AB$13="Baja",'Mapa final'!$AD$13="Mayor"),CONCATENATE("R1C",'Mapa final'!$R$13),"")</f>
        <v/>
      </c>
      <c r="AE36" s="46" t="str">
        <f>IF(AND('Mapa final'!$AB$14="Baja",'Mapa final'!$AD$14="Mayor"),CONCATENATE("R1C",'Mapa final'!$R$14),"")</f>
        <v/>
      </c>
      <c r="AF36" s="46" t="str">
        <f>IF(AND('Mapa final'!$AB$15="Baja",'Mapa final'!$AD$15="Mayor"),CONCATENATE("R1C",'Mapa final'!$R$15),"")</f>
        <v/>
      </c>
      <c r="AG36" s="47" t="str">
        <f>IF(AND('Mapa final'!$AB$16="Baja",'Mapa final'!$AD$16="Mayor"),CONCATENATE("R1C",'Mapa final'!$R$16),"")</f>
        <v/>
      </c>
      <c r="AH36" s="48" t="str">
        <f ca="1">IF(AND('Mapa final'!$AB$11="Baja",'Mapa final'!$AD$11="Catastrófico"),CONCATENATE("R1C",'Mapa final'!$R$11),"")</f>
        <v/>
      </c>
      <c r="AI36" s="49" t="str">
        <f ca="1">IF(AND('Mapa final'!$AB$12="Baja",'Mapa final'!$AD$12="Catastrófico"),CONCATENATE("R1C",'Mapa final'!$R$12),"")</f>
        <v/>
      </c>
      <c r="AJ36" s="49" t="str">
        <f>IF(AND('Mapa final'!$AB$13="Baja",'Mapa final'!$AD$13="Catastrófico"),CONCATENATE("R1C",'Mapa final'!$R$13),"")</f>
        <v/>
      </c>
      <c r="AK36" s="49" t="str">
        <f>IF(AND('Mapa final'!$AB$14="Baja",'Mapa final'!$AD$14="Catastrófico"),CONCATENATE("R1C",'Mapa final'!$R$14),"")</f>
        <v/>
      </c>
      <c r="AL36" s="49" t="str">
        <f>IF(AND('Mapa final'!$AB$15="Baja",'Mapa final'!$AD$15="Catastrófico"),CONCATENATE("R1C",'Mapa final'!$R$15),"")</f>
        <v/>
      </c>
      <c r="AM36" s="50" t="str">
        <f>IF(AND('Mapa final'!$AB$16="Baja",'Mapa final'!$AD$16="Catastrófico"),CONCATENATE("R1C",'Mapa final'!$R$16),"")</f>
        <v/>
      </c>
      <c r="AN36" s="83"/>
      <c r="AO36" s="403" t="s">
        <v>79</v>
      </c>
      <c r="AP36" s="404"/>
      <c r="AQ36" s="404"/>
      <c r="AR36" s="404"/>
      <c r="AS36" s="404"/>
      <c r="AT36" s="40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84"/>
      <c r="C37" s="284"/>
      <c r="D37" s="285"/>
      <c r="E37" s="383"/>
      <c r="F37" s="384"/>
      <c r="G37" s="384"/>
      <c r="H37" s="384"/>
      <c r="I37" s="384"/>
      <c r="J37" s="76" t="str">
        <f ca="1">IF(AND('Mapa final'!$AB$17="Baja",'Mapa final'!$AD$17="Leve"),CONCATENATE("R2C",'Mapa final'!$R$17),"")</f>
        <v/>
      </c>
      <c r="K37" s="77" t="str">
        <f ca="1">IF(AND('Mapa final'!$AB$18="Baja",'Mapa final'!$AD$18="Leve"),CONCATENATE("R2C",'Mapa final'!$R$18),"")</f>
        <v/>
      </c>
      <c r="L37" s="77" t="str">
        <f ca="1">IF(AND('Mapa final'!$AB$19="Baja",'Mapa final'!$AD$19="Leve"),CONCATENATE("R2C",'Mapa final'!$R$19),"")</f>
        <v/>
      </c>
      <c r="M37" s="77" t="str">
        <f>IF(AND('Mapa final'!$AB$20="Baja",'Mapa final'!$AD$20="Leve"),CONCATENATE("R2C",'Mapa final'!$R$20),"")</f>
        <v/>
      </c>
      <c r="N37" s="77" t="str">
        <f>IF(AND('Mapa final'!$AB$21="Baja",'Mapa final'!$AD$21="Leve"),CONCATENATE("R2C",'Mapa final'!$R$21),"")</f>
        <v/>
      </c>
      <c r="O37" s="78" t="str">
        <f>IF(AND('Mapa final'!$AB$22="Baja",'Mapa final'!$AD$22="Leve"),CONCATENATE("R2C",'Mapa final'!$R$22),"")</f>
        <v/>
      </c>
      <c r="P37" s="67" t="str">
        <f ca="1">IF(AND('Mapa final'!$AB$17="Baja",'Mapa final'!$AD$17="Menor"),CONCATENATE("R2C",'Mapa final'!$R$17),"")</f>
        <v/>
      </c>
      <c r="Q37" s="68" t="str">
        <f ca="1">IF(AND('Mapa final'!$AB$18="Baja",'Mapa final'!$AD$18="Menor"),CONCATENATE("R2C",'Mapa final'!$R$18),"")</f>
        <v/>
      </c>
      <c r="R37" s="68" t="str">
        <f ca="1">IF(AND('Mapa final'!$AB$19="Baja",'Mapa final'!$AD$19="Menor"),CONCATENATE("R2C",'Mapa final'!$R$19),"")</f>
        <v/>
      </c>
      <c r="S37" s="68" t="str">
        <f>IF(AND('Mapa final'!$AB$20="Baja",'Mapa final'!$AD$20="Menor"),CONCATENATE("R2C",'Mapa final'!$R$20),"")</f>
        <v/>
      </c>
      <c r="T37" s="68" t="str">
        <f>IF(AND('Mapa final'!$AB$21="Baja",'Mapa final'!$AD$21="Menor"),CONCATENATE("R2C",'Mapa final'!$R$21),"")</f>
        <v/>
      </c>
      <c r="U37" s="69" t="str">
        <f>IF(AND('Mapa final'!$AB$22="Baja",'Mapa final'!$AD$22="Menor"),CONCATENATE("R2C",'Mapa final'!$R$22),"")</f>
        <v/>
      </c>
      <c r="V37" s="67" t="str">
        <f ca="1">IF(AND('Mapa final'!$AB$17="Baja",'Mapa final'!$AD$17="Moderado"),CONCATENATE("R2C",'Mapa final'!$R$17),"")</f>
        <v/>
      </c>
      <c r="W37" s="68" t="str">
        <f ca="1">IF(AND('Mapa final'!$AB$18="Baja",'Mapa final'!$AD$18="Moderado"),CONCATENATE("R2C",'Mapa final'!$R$18),"")</f>
        <v/>
      </c>
      <c r="X37" s="68" t="str">
        <f ca="1">IF(AND('Mapa final'!$AB$19="Baja",'Mapa final'!$AD$19="Moderado"),CONCATENATE("R2C",'Mapa final'!$R$19),"")</f>
        <v/>
      </c>
      <c r="Y37" s="68" t="str">
        <f>IF(AND('Mapa final'!$AB$20="Baja",'Mapa final'!$AD$20="Moderado"),CONCATENATE("R2C",'Mapa final'!$R$20),"")</f>
        <v/>
      </c>
      <c r="Z37" s="68" t="str">
        <f>IF(AND('Mapa final'!$AB$21="Baja",'Mapa final'!$AD$21="Moderado"),CONCATENATE("R2C",'Mapa final'!$R$21),"")</f>
        <v/>
      </c>
      <c r="AA37" s="69" t="str">
        <f>IF(AND('Mapa final'!$AB$22="Baja",'Mapa final'!$AD$22="Moderado"),CONCATENATE("R2C",'Mapa final'!$R$22),"")</f>
        <v/>
      </c>
      <c r="AB37" s="51" t="str">
        <f ca="1">IF(AND('Mapa final'!$AB$17="Baja",'Mapa final'!$AD$17="Mayor"),CONCATENATE("R2C",'Mapa final'!$R$17),"")</f>
        <v/>
      </c>
      <c r="AC37" s="52" t="str">
        <f ca="1">IF(AND('Mapa final'!$AB$18="Baja",'Mapa final'!$AD$18="Mayor"),CONCATENATE("R2C",'Mapa final'!$R$18),"")</f>
        <v/>
      </c>
      <c r="AD37" s="52" t="str">
        <f ca="1">IF(AND('Mapa final'!$AB$19="Baja",'Mapa final'!$AD$19="Mayor"),CONCATENATE("R2C",'Mapa final'!$R$19),"")</f>
        <v/>
      </c>
      <c r="AE37" s="52" t="str">
        <f>IF(AND('Mapa final'!$AB$20="Baja",'Mapa final'!$AD$20="Mayor"),CONCATENATE("R2C",'Mapa final'!$R$20),"")</f>
        <v/>
      </c>
      <c r="AF37" s="52" t="str">
        <f>IF(AND('Mapa final'!$AB$21="Baja",'Mapa final'!$AD$21="Mayor"),CONCATENATE("R2C",'Mapa final'!$R$21),"")</f>
        <v/>
      </c>
      <c r="AG37" s="53" t="str">
        <f>IF(AND('Mapa final'!$AB$22="Baja",'Mapa final'!$AD$22="Mayor"),CONCATENATE("R2C",'Mapa final'!$R$22),"")</f>
        <v/>
      </c>
      <c r="AH37" s="54" t="str">
        <f ca="1">IF(AND('Mapa final'!$AB$17="Baja",'Mapa final'!$AD$17="Catastrófico"),CONCATENATE("R2C",'Mapa final'!$R$17),"")</f>
        <v/>
      </c>
      <c r="AI37" s="55" t="str">
        <f ca="1">IF(AND('Mapa final'!$AB$18="Baja",'Mapa final'!$AD$18="Catastrófico"),CONCATENATE("R2C",'Mapa final'!$R$18),"")</f>
        <v/>
      </c>
      <c r="AJ37" s="55" t="str">
        <f ca="1">IF(AND('Mapa final'!$AB$19="Baja",'Mapa final'!$AD$19="Catastrófico"),CONCATENATE("R2C",'Mapa final'!$R$19),"")</f>
        <v/>
      </c>
      <c r="AK37" s="55" t="str">
        <f>IF(AND('Mapa final'!$AB$20="Baja",'Mapa final'!$AD$20="Catastrófico"),CONCATENATE("R2C",'Mapa final'!$R$20),"")</f>
        <v/>
      </c>
      <c r="AL37" s="55" t="str">
        <f>IF(AND('Mapa final'!$AB$21="Baja",'Mapa final'!$AD$21="Catastrófico"),CONCATENATE("R2C",'Mapa final'!$R$21),"")</f>
        <v/>
      </c>
      <c r="AM37" s="56" t="str">
        <f>IF(AND('Mapa final'!$AB$22="Baja",'Mapa final'!$AD$22="Catastrófico"),CONCATENATE("R2C",'Mapa final'!$R$22),"")</f>
        <v/>
      </c>
      <c r="AN37" s="83"/>
      <c r="AO37" s="406"/>
      <c r="AP37" s="407"/>
      <c r="AQ37" s="407"/>
      <c r="AR37" s="407"/>
      <c r="AS37" s="407"/>
      <c r="AT37" s="40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84"/>
      <c r="C38" s="284"/>
      <c r="D38" s="285"/>
      <c r="E38" s="385"/>
      <c r="F38" s="386"/>
      <c r="G38" s="386"/>
      <c r="H38" s="386"/>
      <c r="I38" s="384"/>
      <c r="J38" s="76" t="str">
        <f ca="1">IF(AND('Mapa final'!$AB$23="Baja",'Mapa final'!$AD$23="Leve"),CONCATENATE("R3C",'Mapa final'!$R$23),"")</f>
        <v/>
      </c>
      <c r="K38" s="77" t="str">
        <f ca="1">IF(AND('Mapa final'!$AB$24="Baja",'Mapa final'!$AD$24="Leve"),CONCATENATE("R3C",'Mapa final'!$R$24),"")</f>
        <v/>
      </c>
      <c r="L38" s="77" t="str">
        <f ca="1">IF(AND('Mapa final'!$AB$25="Baja",'Mapa final'!$AD$25="Leve"),CONCATENATE("R3C",'Mapa final'!$R$25),"")</f>
        <v/>
      </c>
      <c r="M38" s="77" t="str">
        <f ca="1">IF(AND('Mapa final'!$AB$26="Baja",'Mapa final'!$AD$26="Leve"),CONCATENATE("R3C",'Mapa final'!$R$26),"")</f>
        <v/>
      </c>
      <c r="N38" s="77" t="str">
        <f ca="1">IF(AND('Mapa final'!$AB$27="Baja",'Mapa final'!$AD$27="Leve"),CONCATENATE("R3C",'Mapa final'!$R$27),"")</f>
        <v/>
      </c>
      <c r="O38" s="78" t="str">
        <f>IF(AND('Mapa final'!$AB$28="Baja",'Mapa final'!$AD$28="Leve"),CONCATENATE("R3C",'Mapa final'!$R$28),"")</f>
        <v/>
      </c>
      <c r="P38" s="67" t="str">
        <f ca="1">IF(AND('Mapa final'!$AB$23="Baja",'Mapa final'!$AD$23="Menor"),CONCATENATE("R3C",'Mapa final'!$R$23),"")</f>
        <v/>
      </c>
      <c r="Q38" s="68" t="str">
        <f ca="1">IF(AND('Mapa final'!$AB$24="Baja",'Mapa final'!$AD$24="Menor"),CONCATENATE("R3C",'Mapa final'!$R$24),"")</f>
        <v/>
      </c>
      <c r="R38" s="68" t="str">
        <f ca="1">IF(AND('Mapa final'!$AB$25="Baja",'Mapa final'!$AD$25="Menor"),CONCATENATE("R3C",'Mapa final'!$R$25),"")</f>
        <v/>
      </c>
      <c r="S38" s="68" t="str">
        <f ca="1">IF(AND('Mapa final'!$AB$26="Baja",'Mapa final'!$AD$26="Menor"),CONCATENATE("R3C",'Mapa final'!$R$26),"")</f>
        <v/>
      </c>
      <c r="T38" s="68" t="str">
        <f ca="1">IF(AND('Mapa final'!$AB$27="Baja",'Mapa final'!$AD$27="Menor"),CONCATENATE("R3C",'Mapa final'!$R$27),"")</f>
        <v/>
      </c>
      <c r="U38" s="69" t="str">
        <f>IF(AND('Mapa final'!$AB$28="Baja",'Mapa final'!$AD$28="Menor"),CONCATENATE("R3C",'Mapa final'!$R$28),"")</f>
        <v/>
      </c>
      <c r="V38" s="67" t="str">
        <f ca="1">IF(AND('Mapa final'!$AB$23="Baja",'Mapa final'!$AD$23="Moderado"),CONCATENATE("R3C",'Mapa final'!$R$23),"")</f>
        <v/>
      </c>
      <c r="W38" s="68" t="str">
        <f ca="1">IF(AND('Mapa final'!$AB$24="Baja",'Mapa final'!$AD$24="Moderado"),CONCATENATE("R3C",'Mapa final'!$R$24),"")</f>
        <v/>
      </c>
      <c r="X38" s="68" t="str">
        <f ca="1">IF(AND('Mapa final'!$AB$25="Baja",'Mapa final'!$AD$25="Moderado"),CONCATENATE("R3C",'Mapa final'!$R$25),"")</f>
        <v/>
      </c>
      <c r="Y38" s="68" t="str">
        <f ca="1">IF(AND('Mapa final'!$AB$26="Baja",'Mapa final'!$AD$26="Moderado"),CONCATENATE("R3C",'Mapa final'!$R$26),"")</f>
        <v/>
      </c>
      <c r="Z38" s="68" t="str">
        <f ca="1">IF(AND('Mapa final'!$AB$27="Baja",'Mapa final'!$AD$27="Moderado"),CONCATENATE("R3C",'Mapa final'!$R$27),"")</f>
        <v/>
      </c>
      <c r="AA38" s="69" t="str">
        <f>IF(AND('Mapa final'!$AB$28="Baja",'Mapa final'!$AD$28="Moderado"),CONCATENATE("R3C",'Mapa final'!$R$28),"")</f>
        <v/>
      </c>
      <c r="AB38" s="51" t="str">
        <f ca="1">IF(AND('Mapa final'!$AB$23="Baja",'Mapa final'!$AD$23="Mayor"),CONCATENATE("R3C",'Mapa final'!$R$23),"")</f>
        <v/>
      </c>
      <c r="AC38" s="52" t="str">
        <f ca="1">IF(AND('Mapa final'!$AB$24="Baja",'Mapa final'!$AD$24="Mayor"),CONCATENATE("R3C",'Mapa final'!$R$24),"")</f>
        <v/>
      </c>
      <c r="AD38" s="52" t="str">
        <f ca="1">IF(AND('Mapa final'!$AB$25="Baja",'Mapa final'!$AD$25="Mayor"),CONCATENATE("R3C",'Mapa final'!$R$25),"")</f>
        <v/>
      </c>
      <c r="AE38" s="52" t="str">
        <f ca="1">IF(AND('Mapa final'!$AB$26="Baja",'Mapa final'!$AD$26="Mayor"),CONCATENATE("R3C",'Mapa final'!$R$26),"")</f>
        <v/>
      </c>
      <c r="AF38" s="52" t="str">
        <f ca="1">IF(AND('Mapa final'!$AB$27="Baja",'Mapa final'!$AD$27="Mayor"),CONCATENATE("R3C",'Mapa final'!$R$27),"")</f>
        <v/>
      </c>
      <c r="AG38" s="53" t="str">
        <f>IF(AND('Mapa final'!$AB$28="Baja",'Mapa final'!$AD$28="Mayor"),CONCATENATE("R3C",'Mapa final'!$R$28),"")</f>
        <v/>
      </c>
      <c r="AH38" s="54" t="str">
        <f ca="1">IF(AND('Mapa final'!$AB$23="Baja",'Mapa final'!$AD$23="Catastrófico"),CONCATENATE("R3C",'Mapa final'!$R$23),"")</f>
        <v/>
      </c>
      <c r="AI38" s="55" t="str">
        <f ca="1">IF(AND('Mapa final'!$AB$24="Baja",'Mapa final'!$AD$24="Catastrófico"),CONCATENATE("R3C",'Mapa final'!$R$24),"")</f>
        <v/>
      </c>
      <c r="AJ38" s="55" t="str">
        <f ca="1">IF(AND('Mapa final'!$AB$25="Baja",'Mapa final'!$AD$25="Catastrófico"),CONCATENATE("R3C",'Mapa final'!$R$25),"")</f>
        <v/>
      </c>
      <c r="AK38" s="55" t="str">
        <f ca="1">IF(AND('Mapa final'!$AB$26="Baja",'Mapa final'!$AD$26="Catastrófico"),CONCATENATE("R3C",'Mapa final'!$R$26),"")</f>
        <v/>
      </c>
      <c r="AL38" s="55" t="str">
        <f ca="1">IF(AND('Mapa final'!$AB$27="Baja",'Mapa final'!$AD$27="Catastrófico"),CONCATENATE("R3C",'Mapa final'!$R$27),"")</f>
        <v/>
      </c>
      <c r="AM38" s="56" t="str">
        <f>IF(AND('Mapa final'!$AB$28="Baja",'Mapa final'!$AD$28="Catastrófico"),CONCATENATE("R3C",'Mapa final'!$R$28),"")</f>
        <v/>
      </c>
      <c r="AN38" s="83"/>
      <c r="AO38" s="406"/>
      <c r="AP38" s="407"/>
      <c r="AQ38" s="407"/>
      <c r="AR38" s="407"/>
      <c r="AS38" s="407"/>
      <c r="AT38" s="40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84"/>
      <c r="C39" s="284"/>
      <c r="D39" s="285"/>
      <c r="E39" s="385"/>
      <c r="F39" s="386"/>
      <c r="G39" s="386"/>
      <c r="H39" s="386"/>
      <c r="I39" s="384"/>
      <c r="J39" s="76" t="str">
        <f ca="1">IF(AND('Mapa final'!$AB$29="Baja",'Mapa final'!$AD$29="Leve"),CONCATENATE("R4C",'Mapa final'!$R$29),"")</f>
        <v/>
      </c>
      <c r="K39" s="77" t="str">
        <f ca="1">IF(AND('Mapa final'!$AB$30="Baja",'Mapa final'!$AD$30="Leve"),CONCATENATE("R4C",'Mapa final'!$R$30),"")</f>
        <v/>
      </c>
      <c r="L39" s="77" t="str">
        <f ca="1">IF(AND('Mapa final'!$AB$31="Baja",'Mapa final'!$AD$31="Leve"),CONCATENATE("R4C",'Mapa final'!$R$31),"")</f>
        <v/>
      </c>
      <c r="M39" s="77" t="str">
        <f ca="1">IF(AND('Mapa final'!$AB$32="Baja",'Mapa final'!$AD$32="Leve"),CONCATENATE("R4C",'Mapa final'!$R$32),"")</f>
        <v/>
      </c>
      <c r="N39" s="77" t="str">
        <f>IF(AND('Mapa final'!$AB$33="Baja",'Mapa final'!$AD$33="Leve"),CONCATENATE("R4C",'Mapa final'!$R$33),"")</f>
        <v/>
      </c>
      <c r="O39" s="78" t="str">
        <f>IF(AND('Mapa final'!$AB$34="Baja",'Mapa final'!$AD$34="Leve"),CONCATENATE("R4C",'Mapa final'!$R$34),"")</f>
        <v/>
      </c>
      <c r="P39" s="67" t="str">
        <f ca="1">IF(AND('Mapa final'!$AB$29="Baja",'Mapa final'!$AD$29="Menor"),CONCATENATE("R4C",'Mapa final'!$R$29),"")</f>
        <v/>
      </c>
      <c r="Q39" s="68" t="str">
        <f ca="1">IF(AND('Mapa final'!$AB$30="Baja",'Mapa final'!$AD$30="Menor"),CONCATENATE("R4C",'Mapa final'!$R$30),"")</f>
        <v/>
      </c>
      <c r="R39" s="68" t="str">
        <f ca="1">IF(AND('Mapa final'!$AB$31="Baja",'Mapa final'!$AD$31="Menor"),CONCATENATE("R4C",'Mapa final'!$R$31),"")</f>
        <v/>
      </c>
      <c r="S39" s="68" t="str">
        <f ca="1">IF(AND('Mapa final'!$AB$32="Baja",'Mapa final'!$AD$32="Menor"),CONCATENATE("R4C",'Mapa final'!$R$32),"")</f>
        <v/>
      </c>
      <c r="T39" s="68" t="str">
        <f>IF(AND('Mapa final'!$AB$33="Baja",'Mapa final'!$AD$33="Menor"),CONCATENATE("R4C",'Mapa final'!$R$33),"")</f>
        <v/>
      </c>
      <c r="U39" s="69" t="str">
        <f>IF(AND('Mapa final'!$AB$34="Baja",'Mapa final'!$AD$34="Menor"),CONCATENATE("R4C",'Mapa final'!$R$34),"")</f>
        <v/>
      </c>
      <c r="V39" s="67" t="str">
        <f ca="1">IF(AND('Mapa final'!$AB$29="Baja",'Mapa final'!$AD$29="Moderado"),CONCATENATE("R4C",'Mapa final'!$R$29),"")</f>
        <v/>
      </c>
      <c r="W39" s="68" t="str">
        <f ca="1">IF(AND('Mapa final'!$AB$30="Baja",'Mapa final'!$AD$30="Moderado"),CONCATENATE("R4C",'Mapa final'!$R$30),"")</f>
        <v/>
      </c>
      <c r="X39" s="68" t="str">
        <f ca="1">IF(AND('Mapa final'!$AB$31="Baja",'Mapa final'!$AD$31="Moderado"),CONCATENATE("R4C",'Mapa final'!$R$31),"")</f>
        <v/>
      </c>
      <c r="Y39" s="68" t="str">
        <f ca="1">IF(AND('Mapa final'!$AB$32="Baja",'Mapa final'!$AD$32="Moderado"),CONCATENATE("R4C",'Mapa final'!$R$32),"")</f>
        <v/>
      </c>
      <c r="Z39" s="68" t="str">
        <f>IF(AND('Mapa final'!$AB$33="Baja",'Mapa final'!$AD$33="Moderado"),CONCATENATE("R4C",'Mapa final'!$R$33),"")</f>
        <v/>
      </c>
      <c r="AA39" s="69" t="str">
        <f>IF(AND('Mapa final'!$AB$34="Baja",'Mapa final'!$AD$34="Moderado"),CONCATENATE("R4C",'Mapa final'!$R$34),"")</f>
        <v/>
      </c>
      <c r="AB39" s="51" t="str">
        <f ca="1">IF(AND('Mapa final'!$AB$29="Baja",'Mapa final'!$AD$29="Mayor"),CONCATENATE("R4C",'Mapa final'!$R$29),"")</f>
        <v/>
      </c>
      <c r="AC39" s="52" t="str">
        <f ca="1">IF(AND('Mapa final'!$AB$30="Baja",'Mapa final'!$AD$30="Mayor"),CONCATENATE("R4C",'Mapa final'!$R$30),"")</f>
        <v/>
      </c>
      <c r="AD39" s="52" t="str">
        <f ca="1">IF(AND('Mapa final'!$AB$31="Baja",'Mapa final'!$AD$31="Mayor"),CONCATENATE("R4C",'Mapa final'!$R$31),"")</f>
        <v/>
      </c>
      <c r="AE39" s="52" t="str">
        <f ca="1">IF(AND('Mapa final'!$AB$32="Baja",'Mapa final'!$AD$32="Mayor"),CONCATENATE("R4C",'Mapa final'!$R$32),"")</f>
        <v/>
      </c>
      <c r="AF39" s="52" t="str">
        <f>IF(AND('Mapa final'!$AB$33="Baja",'Mapa final'!$AD$33="Mayor"),CONCATENATE("R4C",'Mapa final'!$R$33),"")</f>
        <v/>
      </c>
      <c r="AG39" s="53" t="str">
        <f>IF(AND('Mapa final'!$AB$34="Baja",'Mapa final'!$AD$34="Mayor"),CONCATENATE("R4C",'Mapa final'!$R$34),"")</f>
        <v/>
      </c>
      <c r="AH39" s="54" t="str">
        <f ca="1">IF(AND('Mapa final'!$AB$29="Baja",'Mapa final'!$AD$29="Catastrófico"),CONCATENATE("R4C",'Mapa final'!$R$29),"")</f>
        <v/>
      </c>
      <c r="AI39" s="55" t="str">
        <f ca="1">IF(AND('Mapa final'!$AB$30="Baja",'Mapa final'!$AD$30="Catastrófico"),CONCATENATE("R4C",'Mapa final'!$R$30),"")</f>
        <v/>
      </c>
      <c r="AJ39" s="55" t="str">
        <f ca="1">IF(AND('Mapa final'!$AB$31="Baja",'Mapa final'!$AD$31="Catastrófico"),CONCATENATE("R4C",'Mapa final'!$R$31),"")</f>
        <v/>
      </c>
      <c r="AK39" s="55" t="str">
        <f ca="1">IF(AND('Mapa final'!$AB$32="Baja",'Mapa final'!$AD$32="Catastrófico"),CONCATENATE("R4C",'Mapa final'!$R$32),"")</f>
        <v/>
      </c>
      <c r="AL39" s="55" t="str">
        <f>IF(AND('Mapa final'!$AB$33="Baja",'Mapa final'!$AD$33="Catastrófico"),CONCATENATE("R4C",'Mapa final'!$R$33),"")</f>
        <v/>
      </c>
      <c r="AM39" s="56" t="str">
        <f>IF(AND('Mapa final'!$AB$34="Baja",'Mapa final'!$AD$34="Catastrófico"),CONCATENATE("R4C",'Mapa final'!$R$34),"")</f>
        <v/>
      </c>
      <c r="AN39" s="83"/>
      <c r="AO39" s="406"/>
      <c r="AP39" s="407"/>
      <c r="AQ39" s="407"/>
      <c r="AR39" s="407"/>
      <c r="AS39" s="407"/>
      <c r="AT39" s="40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84"/>
      <c r="C40" s="284"/>
      <c r="D40" s="285"/>
      <c r="E40" s="385"/>
      <c r="F40" s="386"/>
      <c r="G40" s="386"/>
      <c r="H40" s="386"/>
      <c r="I40" s="384"/>
      <c r="J40" s="76" t="str">
        <f ca="1">IF(AND('Mapa final'!$AB$41="Baja",'Mapa final'!$AD$41="Leve"),CONCATENATE("R5C",'Mapa final'!$R$41),"")</f>
        <v/>
      </c>
      <c r="K40" s="77" t="str">
        <f ca="1">IF(AND('Mapa final'!$AB$42="Baja",'Mapa final'!$AD$42="Leve"),CONCATENATE("R5C",'Mapa final'!$R$42),"")</f>
        <v/>
      </c>
      <c r="L40" s="77" t="str">
        <f ca="1">IF(AND('Mapa final'!$AB$43="Baja",'Mapa final'!$AD$43="Leve"),CONCATENATE("R5C",'Mapa final'!$R$43),"")</f>
        <v/>
      </c>
      <c r="M40" s="77" t="str">
        <f ca="1">IF(AND('Mapa final'!$AB$44="Baja",'Mapa final'!$AD$44="Leve"),CONCATENATE("R5C",'Mapa final'!$R$44),"")</f>
        <v/>
      </c>
      <c r="N40" s="77" t="str">
        <f>IF(AND('Mapa final'!$AB$45="Baja",'Mapa final'!$AD$45="Leve"),CONCATENATE("R5C",'Mapa final'!$R$45),"")</f>
        <v/>
      </c>
      <c r="O40" s="78" t="str">
        <f>IF(AND('Mapa final'!$AB$46="Baja",'Mapa final'!$AD$46="Leve"),CONCATENATE("R5C",'Mapa final'!$R$46),"")</f>
        <v/>
      </c>
      <c r="P40" s="67" t="str">
        <f ca="1">IF(AND('Mapa final'!$AB$41="Baja",'Mapa final'!$AD$41="Menor"),CONCATENATE("R5C",'Mapa final'!$R$41),"")</f>
        <v/>
      </c>
      <c r="Q40" s="68" t="str">
        <f ca="1">IF(AND('Mapa final'!$AB$42="Baja",'Mapa final'!$AD$42="Menor"),CONCATENATE("R5C",'Mapa final'!$R$42),"")</f>
        <v/>
      </c>
      <c r="R40" s="68" t="str">
        <f ca="1">IF(AND('Mapa final'!$AB$43="Baja",'Mapa final'!$AD$43="Menor"),CONCATENATE("R5C",'Mapa final'!$R$43),"")</f>
        <v/>
      </c>
      <c r="S40" s="68" t="str">
        <f ca="1">IF(AND('Mapa final'!$AB$44="Baja",'Mapa final'!$AD$44="Menor"),CONCATENATE("R5C",'Mapa final'!$R$44),"")</f>
        <v/>
      </c>
      <c r="T40" s="68" t="str">
        <f>IF(AND('Mapa final'!$AB$45="Baja",'Mapa final'!$AD$45="Menor"),CONCATENATE("R5C",'Mapa final'!$R$45),"")</f>
        <v/>
      </c>
      <c r="U40" s="69" t="str">
        <f>IF(AND('Mapa final'!$AB$46="Baja",'Mapa final'!$AD$46="Menor"),CONCATENATE("R5C",'Mapa final'!$R$46),"")</f>
        <v/>
      </c>
      <c r="V40" s="67" t="str">
        <f ca="1">IF(AND('Mapa final'!$AB$41="Baja",'Mapa final'!$AD$41="Moderado"),CONCATENATE("R5C",'Mapa final'!$R$41),"")</f>
        <v/>
      </c>
      <c r="W40" s="68" t="str">
        <f ca="1">IF(AND('Mapa final'!$AB$42="Baja",'Mapa final'!$AD$42="Moderado"),CONCATENATE("R5C",'Mapa final'!$R$42),"")</f>
        <v/>
      </c>
      <c r="X40" s="68" t="str">
        <f ca="1">IF(AND('Mapa final'!$AB$43="Baja",'Mapa final'!$AD$43="Moderado"),CONCATENATE("R5C",'Mapa final'!$R$43),"")</f>
        <v>R5C3</v>
      </c>
      <c r="Y40" s="68" t="str">
        <f ca="1">IF(AND('Mapa final'!$AB$44="Baja",'Mapa final'!$AD$44="Moderado"),CONCATENATE("R5C",'Mapa final'!$R$44),"")</f>
        <v/>
      </c>
      <c r="Z40" s="68" t="str">
        <f>IF(AND('Mapa final'!$AB$45="Baja",'Mapa final'!$AD$45="Moderado"),CONCATENATE("R5C",'Mapa final'!$R$45),"")</f>
        <v/>
      </c>
      <c r="AA40" s="69" t="str">
        <f>IF(AND('Mapa final'!$AB$46="Baja",'Mapa final'!$AD$46="Moderado"),CONCATENATE("R5C",'Mapa final'!$R$46),"")</f>
        <v/>
      </c>
      <c r="AB40" s="51" t="str">
        <f ca="1">IF(AND('Mapa final'!$AB$41="Baja",'Mapa final'!$AD$41="Mayor"),CONCATENATE("R5C",'Mapa final'!$R$41),"")</f>
        <v/>
      </c>
      <c r="AC40" s="52" t="str">
        <f ca="1">IF(AND('Mapa final'!$AB$42="Baja",'Mapa final'!$AD$42="Mayor"),CONCATENATE("R5C",'Mapa final'!$R$42),"")</f>
        <v/>
      </c>
      <c r="AD40" s="57" t="str">
        <f ca="1">IF(AND('Mapa final'!$AB$43="Baja",'Mapa final'!$AD$43="Mayor"),CONCATENATE("R5C",'Mapa final'!$R$43),"")</f>
        <v/>
      </c>
      <c r="AE40" s="57" t="str">
        <f ca="1">IF(AND('Mapa final'!$AB$44="Baja",'Mapa final'!$AD$44="Mayor"),CONCATENATE("R5C",'Mapa final'!$R$44),"")</f>
        <v/>
      </c>
      <c r="AF40" s="57" t="str">
        <f>IF(AND('Mapa final'!$AB$45="Baja",'Mapa final'!$AD$45="Mayor"),CONCATENATE("R5C",'Mapa final'!$R$45),"")</f>
        <v/>
      </c>
      <c r="AG40" s="53" t="str">
        <f>IF(AND('Mapa final'!$AB$46="Baja",'Mapa final'!$AD$46="Mayor"),CONCATENATE("R5C",'Mapa final'!$R$46),"")</f>
        <v/>
      </c>
      <c r="AH40" s="54" t="str">
        <f ca="1">IF(AND('Mapa final'!$AB$41="Baja",'Mapa final'!$AD$41="Catastrófico"),CONCATENATE("R5C",'Mapa final'!$R$41),"")</f>
        <v/>
      </c>
      <c r="AI40" s="55" t="str">
        <f ca="1">IF(AND('Mapa final'!$AB$42="Baja",'Mapa final'!$AD$42="Catastrófico"),CONCATENATE("R5C",'Mapa final'!$R$42),"")</f>
        <v/>
      </c>
      <c r="AJ40" s="55" t="str">
        <f ca="1">IF(AND('Mapa final'!$AB$43="Baja",'Mapa final'!$AD$43="Catastrófico"),CONCATENATE("R5C",'Mapa final'!$R$43),"")</f>
        <v/>
      </c>
      <c r="AK40" s="55" t="str">
        <f ca="1">IF(AND('Mapa final'!$AB$44="Baja",'Mapa final'!$AD$44="Catastrófico"),CONCATENATE("R5C",'Mapa final'!$R$44),"")</f>
        <v/>
      </c>
      <c r="AL40" s="55" t="str">
        <f>IF(AND('Mapa final'!$AB$45="Baja",'Mapa final'!$AD$45="Catastrófico"),CONCATENATE("R5C",'Mapa final'!$R$45),"")</f>
        <v/>
      </c>
      <c r="AM40" s="56" t="str">
        <f>IF(AND('Mapa final'!$AB$46="Baja",'Mapa final'!$AD$46="Catastrófico"),CONCATENATE("R5C",'Mapa final'!$R$46),"")</f>
        <v/>
      </c>
      <c r="AN40" s="83"/>
      <c r="AO40" s="406"/>
      <c r="AP40" s="407"/>
      <c r="AQ40" s="407"/>
      <c r="AR40" s="407"/>
      <c r="AS40" s="407"/>
      <c r="AT40" s="40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84"/>
      <c r="C41" s="284"/>
      <c r="D41" s="285"/>
      <c r="E41" s="385"/>
      <c r="F41" s="386"/>
      <c r="G41" s="386"/>
      <c r="H41" s="386"/>
      <c r="I41" s="384"/>
      <c r="J41" s="76" t="e">
        <f>IF(AND('Mapa final'!#REF!="Baja",'Mapa final'!#REF!="Leve"),CONCATENATE("R6C",'Mapa final'!#REF!),"")</f>
        <v>#REF!</v>
      </c>
      <c r="K41" s="77" t="e">
        <f>IF(AND('Mapa final'!#REF!="Baja",'Mapa final'!#REF!="Leve"),CONCATENATE("R6C",'Mapa final'!#REF!),"")</f>
        <v>#REF!</v>
      </c>
      <c r="L41" s="77" t="e">
        <f>IF(AND('Mapa final'!#REF!="Baja",'Mapa final'!#REF!="Leve"),CONCATENATE("R6C",'Mapa final'!#REF!),"")</f>
        <v>#REF!</v>
      </c>
      <c r="M41" s="77" t="e">
        <f>IF(AND('Mapa final'!#REF!="Baja",'Mapa final'!#REF!="Leve"),CONCATENATE("R6C",'Mapa final'!#REF!),"")</f>
        <v>#REF!</v>
      </c>
      <c r="N41" s="77" t="e">
        <f>IF(AND('Mapa final'!#REF!="Baja",'Mapa final'!#REF!="Leve"),CONCATENATE("R6C",'Mapa final'!#REF!),"")</f>
        <v>#REF!</v>
      </c>
      <c r="O41" s="78" t="e">
        <f>IF(AND('Mapa final'!#REF!="Baja",'Mapa final'!#REF!="Leve"),CONCATENATE("R6C",'Mapa final'!#REF!),"")</f>
        <v>#REF!</v>
      </c>
      <c r="P41" s="67" t="e">
        <f>IF(AND('Mapa final'!#REF!="Baja",'Mapa final'!#REF!="Menor"),CONCATENATE("R6C",'Mapa final'!#REF!),"")</f>
        <v>#REF!</v>
      </c>
      <c r="Q41" s="68" t="e">
        <f>IF(AND('Mapa final'!#REF!="Baja",'Mapa final'!#REF!="Menor"),CONCATENATE("R6C",'Mapa final'!#REF!),"")</f>
        <v>#REF!</v>
      </c>
      <c r="R41" s="68" t="e">
        <f>IF(AND('Mapa final'!#REF!="Baja",'Mapa final'!#REF!="Menor"),CONCATENATE("R6C",'Mapa final'!#REF!),"")</f>
        <v>#REF!</v>
      </c>
      <c r="S41" s="68" t="e">
        <f>IF(AND('Mapa final'!#REF!="Baja",'Mapa final'!#REF!="Menor"),CONCATENATE("R6C",'Mapa final'!#REF!),"")</f>
        <v>#REF!</v>
      </c>
      <c r="T41" s="68" t="e">
        <f>IF(AND('Mapa final'!#REF!="Baja",'Mapa final'!#REF!="Menor"),CONCATENATE("R6C",'Mapa final'!#REF!),"")</f>
        <v>#REF!</v>
      </c>
      <c r="U41" s="69" t="e">
        <f>IF(AND('Mapa final'!#REF!="Baja",'Mapa final'!#REF!="Menor"),CONCATENATE("R6C",'Mapa final'!#REF!),"")</f>
        <v>#REF!</v>
      </c>
      <c r="V41" s="67" t="e">
        <f>IF(AND('Mapa final'!#REF!="Baja",'Mapa final'!#REF!="Moderado"),CONCATENATE("R6C",'Mapa final'!#REF!),"")</f>
        <v>#REF!</v>
      </c>
      <c r="W41" s="68" t="e">
        <f>IF(AND('Mapa final'!#REF!="Baja",'Mapa final'!#REF!="Moderado"),CONCATENATE("R6C",'Mapa final'!#REF!),"")</f>
        <v>#REF!</v>
      </c>
      <c r="X41" s="68" t="e">
        <f>IF(AND('Mapa final'!#REF!="Baja",'Mapa final'!#REF!="Moderado"),CONCATENATE("R6C",'Mapa final'!#REF!),"")</f>
        <v>#REF!</v>
      </c>
      <c r="Y41" s="68" t="e">
        <f>IF(AND('Mapa final'!#REF!="Baja",'Mapa final'!#REF!="Moderado"),CONCATENATE("R6C",'Mapa final'!#REF!),"")</f>
        <v>#REF!</v>
      </c>
      <c r="Z41" s="68" t="e">
        <f>IF(AND('Mapa final'!#REF!="Baja",'Mapa final'!#REF!="Moderado"),CONCATENATE("R6C",'Mapa final'!#REF!),"")</f>
        <v>#REF!</v>
      </c>
      <c r="AA41" s="69" t="e">
        <f>IF(AND('Mapa final'!#REF!="Baja",'Mapa final'!#REF!="Moderado"),CONCATENATE("R6C",'Mapa final'!#REF!),"")</f>
        <v>#REF!</v>
      </c>
      <c r="AB41" s="51" t="e">
        <f>IF(AND('Mapa final'!#REF!="Baja",'Mapa final'!#REF!="Mayor"),CONCATENATE("R6C",'Mapa final'!#REF!),"")</f>
        <v>#REF!</v>
      </c>
      <c r="AC41" s="52" t="e">
        <f>IF(AND('Mapa final'!#REF!="Baja",'Mapa final'!#REF!="Mayor"),CONCATENATE("R6C",'Mapa final'!#REF!),"")</f>
        <v>#REF!</v>
      </c>
      <c r="AD41" s="57" t="e">
        <f>IF(AND('Mapa final'!#REF!="Baja",'Mapa final'!#REF!="Mayor"),CONCATENATE("R6C",'Mapa final'!#REF!),"")</f>
        <v>#REF!</v>
      </c>
      <c r="AE41" s="57" t="e">
        <f>IF(AND('Mapa final'!#REF!="Baja",'Mapa final'!#REF!="Mayor"),CONCATENATE("R6C",'Mapa final'!#REF!),"")</f>
        <v>#REF!</v>
      </c>
      <c r="AF41" s="57" t="e">
        <f>IF(AND('Mapa final'!#REF!="Baja",'Mapa final'!#REF!="Mayor"),CONCATENATE("R6C",'Mapa final'!#REF!),"")</f>
        <v>#REF!</v>
      </c>
      <c r="AG41" s="53" t="e">
        <f>IF(AND('Mapa final'!#REF!="Baja",'Mapa final'!#REF!="Mayor"),CONCATENATE("R6C",'Mapa final'!#REF!),"")</f>
        <v>#REF!</v>
      </c>
      <c r="AH41" s="54" t="e">
        <f>IF(AND('Mapa final'!#REF!="Baja",'Mapa final'!#REF!="Catastrófico"),CONCATENATE("R6C",'Mapa final'!#REF!),"")</f>
        <v>#REF!</v>
      </c>
      <c r="AI41" s="55" t="e">
        <f>IF(AND('Mapa final'!#REF!="Baja",'Mapa final'!#REF!="Catastrófico"),CONCATENATE("R6C",'Mapa final'!#REF!),"")</f>
        <v>#REF!</v>
      </c>
      <c r="AJ41" s="55" t="e">
        <f>IF(AND('Mapa final'!#REF!="Baja",'Mapa final'!#REF!="Catastrófico"),CONCATENATE("R6C",'Mapa final'!#REF!),"")</f>
        <v>#REF!</v>
      </c>
      <c r="AK41" s="55" t="e">
        <f>IF(AND('Mapa final'!#REF!="Baja",'Mapa final'!#REF!="Catastrófico"),CONCATENATE("R6C",'Mapa final'!#REF!),"")</f>
        <v>#REF!</v>
      </c>
      <c r="AL41" s="55" t="e">
        <f>IF(AND('Mapa final'!#REF!="Baja",'Mapa final'!#REF!="Catastrófico"),CONCATENATE("R6C",'Mapa final'!#REF!),"")</f>
        <v>#REF!</v>
      </c>
      <c r="AM41" s="56" t="e">
        <f>IF(AND('Mapa final'!#REF!="Baja",'Mapa final'!#REF!="Catastrófico"),CONCATENATE("R6C",'Mapa final'!#REF!),"")</f>
        <v>#REF!</v>
      </c>
      <c r="AN41" s="83"/>
      <c r="AO41" s="406"/>
      <c r="AP41" s="407"/>
      <c r="AQ41" s="407"/>
      <c r="AR41" s="407"/>
      <c r="AS41" s="407"/>
      <c r="AT41" s="40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84"/>
      <c r="C42" s="284"/>
      <c r="D42" s="285"/>
      <c r="E42" s="385"/>
      <c r="F42" s="386"/>
      <c r="G42" s="386"/>
      <c r="H42" s="386"/>
      <c r="I42" s="384"/>
      <c r="J42" s="76" t="e">
        <f>IF(AND('Mapa final'!#REF!="Baja",'Mapa final'!#REF!="Leve"),CONCATENATE("R7C",'Mapa final'!#REF!),"")</f>
        <v>#REF!</v>
      </c>
      <c r="K42" s="77" t="e">
        <f>IF(AND('Mapa final'!#REF!="Baja",'Mapa final'!#REF!="Leve"),CONCATENATE("R7C",'Mapa final'!#REF!),"")</f>
        <v>#REF!</v>
      </c>
      <c r="L42" s="77" t="e">
        <f>IF(AND('Mapa final'!#REF!="Baja",'Mapa final'!#REF!="Leve"),CONCATENATE("R7C",'Mapa final'!#REF!),"")</f>
        <v>#REF!</v>
      </c>
      <c r="M42" s="77" t="e">
        <f>IF(AND('Mapa final'!#REF!="Baja",'Mapa final'!#REF!="Leve"),CONCATENATE("R7C",'Mapa final'!#REF!),"")</f>
        <v>#REF!</v>
      </c>
      <c r="N42" s="77" t="e">
        <f>IF(AND('Mapa final'!#REF!="Baja",'Mapa final'!#REF!="Leve"),CONCATENATE("R7C",'Mapa final'!#REF!),"")</f>
        <v>#REF!</v>
      </c>
      <c r="O42" s="78" t="e">
        <f>IF(AND('Mapa final'!#REF!="Baja",'Mapa final'!#REF!="Leve"),CONCATENATE("R7C",'Mapa final'!#REF!),"")</f>
        <v>#REF!</v>
      </c>
      <c r="P42" s="67" t="e">
        <f>IF(AND('Mapa final'!#REF!="Baja",'Mapa final'!#REF!="Menor"),CONCATENATE("R7C",'Mapa final'!#REF!),"")</f>
        <v>#REF!</v>
      </c>
      <c r="Q42" s="68" t="e">
        <f>IF(AND('Mapa final'!#REF!="Baja",'Mapa final'!#REF!="Menor"),CONCATENATE("R7C",'Mapa final'!#REF!),"")</f>
        <v>#REF!</v>
      </c>
      <c r="R42" s="68" t="e">
        <f>IF(AND('Mapa final'!#REF!="Baja",'Mapa final'!#REF!="Menor"),CONCATENATE("R7C",'Mapa final'!#REF!),"")</f>
        <v>#REF!</v>
      </c>
      <c r="S42" s="68" t="e">
        <f>IF(AND('Mapa final'!#REF!="Baja",'Mapa final'!#REF!="Menor"),CONCATENATE("R7C",'Mapa final'!#REF!),"")</f>
        <v>#REF!</v>
      </c>
      <c r="T42" s="68" t="e">
        <f>IF(AND('Mapa final'!#REF!="Baja",'Mapa final'!#REF!="Menor"),CONCATENATE("R7C",'Mapa final'!#REF!),"")</f>
        <v>#REF!</v>
      </c>
      <c r="U42" s="69" t="e">
        <f>IF(AND('Mapa final'!#REF!="Baja",'Mapa final'!#REF!="Menor"),CONCATENATE("R7C",'Mapa final'!#REF!),"")</f>
        <v>#REF!</v>
      </c>
      <c r="V42" s="67" t="e">
        <f>IF(AND('Mapa final'!#REF!="Baja",'Mapa final'!#REF!="Moderado"),CONCATENATE("R7C",'Mapa final'!#REF!),"")</f>
        <v>#REF!</v>
      </c>
      <c r="W42" s="68" t="e">
        <f>IF(AND('Mapa final'!#REF!="Baja",'Mapa final'!#REF!="Moderado"),CONCATENATE("R7C",'Mapa final'!#REF!),"")</f>
        <v>#REF!</v>
      </c>
      <c r="X42" s="68" t="e">
        <f>IF(AND('Mapa final'!#REF!="Baja",'Mapa final'!#REF!="Moderado"),CONCATENATE("R7C",'Mapa final'!#REF!),"")</f>
        <v>#REF!</v>
      </c>
      <c r="Y42" s="68" t="e">
        <f>IF(AND('Mapa final'!#REF!="Baja",'Mapa final'!#REF!="Moderado"),CONCATENATE("R7C",'Mapa final'!#REF!),"")</f>
        <v>#REF!</v>
      </c>
      <c r="Z42" s="68" t="e">
        <f>IF(AND('Mapa final'!#REF!="Baja",'Mapa final'!#REF!="Moderado"),CONCATENATE("R7C",'Mapa final'!#REF!),"")</f>
        <v>#REF!</v>
      </c>
      <c r="AA42" s="69" t="e">
        <f>IF(AND('Mapa final'!#REF!="Baja",'Mapa final'!#REF!="Moderado"),CONCATENATE("R7C",'Mapa final'!#REF!),"")</f>
        <v>#REF!</v>
      </c>
      <c r="AB42" s="51" t="e">
        <f>IF(AND('Mapa final'!#REF!="Baja",'Mapa final'!#REF!="Mayor"),CONCATENATE("R7C",'Mapa final'!#REF!),"")</f>
        <v>#REF!</v>
      </c>
      <c r="AC42" s="52" t="e">
        <f>IF(AND('Mapa final'!#REF!="Baja",'Mapa final'!#REF!="Mayor"),CONCATENATE("R7C",'Mapa final'!#REF!),"")</f>
        <v>#REF!</v>
      </c>
      <c r="AD42" s="57" t="e">
        <f>IF(AND('Mapa final'!#REF!="Baja",'Mapa final'!#REF!="Mayor"),CONCATENATE("R7C",'Mapa final'!#REF!),"")</f>
        <v>#REF!</v>
      </c>
      <c r="AE42" s="57" t="e">
        <f>IF(AND('Mapa final'!#REF!="Baja",'Mapa final'!#REF!="Mayor"),CONCATENATE("R7C",'Mapa final'!#REF!),"")</f>
        <v>#REF!</v>
      </c>
      <c r="AF42" s="57" t="e">
        <f>IF(AND('Mapa final'!#REF!="Baja",'Mapa final'!#REF!="Mayor"),CONCATENATE("R7C",'Mapa final'!#REF!),"")</f>
        <v>#REF!</v>
      </c>
      <c r="AG42" s="53" t="e">
        <f>IF(AND('Mapa final'!#REF!="Baja",'Mapa final'!#REF!="Mayor"),CONCATENATE("R7C",'Mapa final'!#REF!),"")</f>
        <v>#REF!</v>
      </c>
      <c r="AH42" s="54" t="e">
        <f>IF(AND('Mapa final'!#REF!="Baja",'Mapa final'!#REF!="Catastrófico"),CONCATENATE("R7C",'Mapa final'!#REF!),"")</f>
        <v>#REF!</v>
      </c>
      <c r="AI42" s="55" t="e">
        <f>IF(AND('Mapa final'!#REF!="Baja",'Mapa final'!#REF!="Catastrófico"),CONCATENATE("R7C",'Mapa final'!#REF!),"")</f>
        <v>#REF!</v>
      </c>
      <c r="AJ42" s="55" t="e">
        <f>IF(AND('Mapa final'!#REF!="Baja",'Mapa final'!#REF!="Catastrófico"),CONCATENATE("R7C",'Mapa final'!#REF!),"")</f>
        <v>#REF!</v>
      </c>
      <c r="AK42" s="55" t="e">
        <f>IF(AND('Mapa final'!#REF!="Baja",'Mapa final'!#REF!="Catastrófico"),CONCATENATE("R7C",'Mapa final'!#REF!),"")</f>
        <v>#REF!</v>
      </c>
      <c r="AL42" s="55" t="e">
        <f>IF(AND('Mapa final'!#REF!="Baja",'Mapa final'!#REF!="Catastrófico"),CONCATENATE("R7C",'Mapa final'!#REF!),"")</f>
        <v>#REF!</v>
      </c>
      <c r="AM42" s="56" t="e">
        <f>IF(AND('Mapa final'!#REF!="Baja",'Mapa final'!#REF!="Catastrófico"),CONCATENATE("R7C",'Mapa final'!#REF!),"")</f>
        <v>#REF!</v>
      </c>
      <c r="AN42" s="83"/>
      <c r="AO42" s="406"/>
      <c r="AP42" s="407"/>
      <c r="AQ42" s="407"/>
      <c r="AR42" s="407"/>
      <c r="AS42" s="407"/>
      <c r="AT42" s="40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84"/>
      <c r="C43" s="284"/>
      <c r="D43" s="285"/>
      <c r="E43" s="385"/>
      <c r="F43" s="386"/>
      <c r="G43" s="386"/>
      <c r="H43" s="386"/>
      <c r="I43" s="384"/>
      <c r="J43" s="76" t="str">
        <f ca="1">IF(AND('Mapa final'!$AB$47="Baja",'Mapa final'!$AD$47="Leve"),CONCATENATE("R8C",'Mapa final'!$R$47),"")</f>
        <v/>
      </c>
      <c r="K43" s="77" t="str">
        <f>IF(AND('Mapa final'!$AB$48="Baja",'Mapa final'!$AD$48="Leve"),CONCATENATE("R8C",'Mapa final'!$R$48),"")</f>
        <v/>
      </c>
      <c r="L43" s="77" t="str">
        <f>IF(AND('Mapa final'!$AB$49="Baja",'Mapa final'!$AD$49="Leve"),CONCATENATE("R8C",'Mapa final'!$R$49),"")</f>
        <v/>
      </c>
      <c r="M43" s="77" t="str">
        <f>IF(AND('Mapa final'!$AB$50="Baja",'Mapa final'!$AD$50="Leve"),CONCATENATE("R8C",'Mapa final'!$R$50),"")</f>
        <v/>
      </c>
      <c r="N43" s="77" t="str">
        <f>IF(AND('Mapa final'!$AB$51="Baja",'Mapa final'!$AD$51="Leve"),CONCATENATE("R8C",'Mapa final'!$R$51),"")</f>
        <v/>
      </c>
      <c r="O43" s="78" t="str">
        <f>IF(AND('Mapa final'!$AB$52="Baja",'Mapa final'!$AD$52="Leve"),CONCATENATE("R8C",'Mapa final'!$R$52),"")</f>
        <v/>
      </c>
      <c r="P43" s="67" t="str">
        <f ca="1">IF(AND('Mapa final'!$AB$47="Baja",'Mapa final'!$AD$47="Menor"),CONCATENATE("R8C",'Mapa final'!$R$47),"")</f>
        <v/>
      </c>
      <c r="Q43" s="68" t="str">
        <f>IF(AND('Mapa final'!$AB$48="Baja",'Mapa final'!$AD$48="Menor"),CONCATENATE("R8C",'Mapa final'!$R$48),"")</f>
        <v/>
      </c>
      <c r="R43" s="68" t="str">
        <f>IF(AND('Mapa final'!$AB$49="Baja",'Mapa final'!$AD$49="Menor"),CONCATENATE("R8C",'Mapa final'!$R$49),"")</f>
        <v/>
      </c>
      <c r="S43" s="68" t="str">
        <f>IF(AND('Mapa final'!$AB$50="Baja",'Mapa final'!$AD$50="Menor"),CONCATENATE("R8C",'Mapa final'!$R$50),"")</f>
        <v/>
      </c>
      <c r="T43" s="68" t="str">
        <f>IF(AND('Mapa final'!$AB$51="Baja",'Mapa final'!$AD$51="Menor"),CONCATENATE("R8C",'Mapa final'!$R$51),"")</f>
        <v/>
      </c>
      <c r="U43" s="69" t="str">
        <f>IF(AND('Mapa final'!$AB$52="Baja",'Mapa final'!$AD$52="Menor"),CONCATENATE("R8C",'Mapa final'!$R$52),"")</f>
        <v/>
      </c>
      <c r="V43" s="67" t="str">
        <f ca="1">IF(AND('Mapa final'!$AB$47="Baja",'Mapa final'!$AD$47="Moderado"),CONCATENATE("R8C",'Mapa final'!$R$47),"")</f>
        <v/>
      </c>
      <c r="W43" s="68" t="str">
        <f>IF(AND('Mapa final'!$AB$48="Baja",'Mapa final'!$AD$48="Moderado"),CONCATENATE("R8C",'Mapa final'!$R$48),"")</f>
        <v/>
      </c>
      <c r="X43" s="68" t="str">
        <f>IF(AND('Mapa final'!$AB$49="Baja",'Mapa final'!$AD$49="Moderado"),CONCATENATE("R8C",'Mapa final'!$R$49),"")</f>
        <v/>
      </c>
      <c r="Y43" s="68" t="str">
        <f>IF(AND('Mapa final'!$AB$50="Baja",'Mapa final'!$AD$50="Moderado"),CONCATENATE("R8C",'Mapa final'!$R$50),"")</f>
        <v/>
      </c>
      <c r="Z43" s="68" t="str">
        <f>IF(AND('Mapa final'!$AB$51="Baja",'Mapa final'!$AD$51="Moderado"),CONCATENATE("R8C",'Mapa final'!$R$51),"")</f>
        <v/>
      </c>
      <c r="AA43" s="69" t="str">
        <f>IF(AND('Mapa final'!$AB$52="Baja",'Mapa final'!$AD$52="Moderado"),CONCATENATE("R8C",'Mapa final'!$R$52),"")</f>
        <v/>
      </c>
      <c r="AB43" s="51" t="str">
        <f ca="1">IF(AND('Mapa final'!$AB$47="Baja",'Mapa final'!$AD$47="Mayor"),CONCATENATE("R8C",'Mapa final'!$R$47),"")</f>
        <v/>
      </c>
      <c r="AC43" s="52" t="str">
        <f>IF(AND('Mapa final'!$AB$48="Baja",'Mapa final'!$AD$48="Mayor"),CONCATENATE("R8C",'Mapa final'!$R$48),"")</f>
        <v/>
      </c>
      <c r="AD43" s="57" t="str">
        <f>IF(AND('Mapa final'!$AB$49="Baja",'Mapa final'!$AD$49="Mayor"),CONCATENATE("R8C",'Mapa final'!$R$49),"")</f>
        <v/>
      </c>
      <c r="AE43" s="57" t="str">
        <f>IF(AND('Mapa final'!$AB$50="Baja",'Mapa final'!$AD$50="Mayor"),CONCATENATE("R8C",'Mapa final'!$R$50),"")</f>
        <v/>
      </c>
      <c r="AF43" s="57" t="str">
        <f>IF(AND('Mapa final'!$AB$51="Baja",'Mapa final'!$AD$51="Mayor"),CONCATENATE("R8C",'Mapa final'!$R$51),"")</f>
        <v/>
      </c>
      <c r="AG43" s="53" t="str">
        <f>IF(AND('Mapa final'!$AB$52="Baja",'Mapa final'!$AD$52="Mayor"),CONCATENATE("R8C",'Mapa final'!$R$52),"")</f>
        <v/>
      </c>
      <c r="AH43" s="54" t="str">
        <f ca="1">IF(AND('Mapa final'!$AB$47="Baja",'Mapa final'!$AD$47="Catastrófico"),CONCATENATE("R8C",'Mapa final'!$R$47),"")</f>
        <v/>
      </c>
      <c r="AI43" s="55" t="str">
        <f>IF(AND('Mapa final'!$AB$48="Baja",'Mapa final'!$AD$48="Catastrófico"),CONCATENATE("R8C",'Mapa final'!$R$48),"")</f>
        <v/>
      </c>
      <c r="AJ43" s="55" t="str">
        <f>IF(AND('Mapa final'!$AB$49="Baja",'Mapa final'!$AD$49="Catastrófico"),CONCATENATE("R8C",'Mapa final'!$R$49),"")</f>
        <v/>
      </c>
      <c r="AK43" s="55" t="str">
        <f>IF(AND('Mapa final'!$AB$50="Baja",'Mapa final'!$AD$50="Catastrófico"),CONCATENATE("R8C",'Mapa final'!$R$50),"")</f>
        <v/>
      </c>
      <c r="AL43" s="55" t="str">
        <f>IF(AND('Mapa final'!$AB$51="Baja",'Mapa final'!$AD$51="Catastrófico"),CONCATENATE("R8C",'Mapa final'!$R$51),"")</f>
        <v/>
      </c>
      <c r="AM43" s="56" t="str">
        <f>IF(AND('Mapa final'!$AB$52="Baja",'Mapa final'!$AD$52="Catastrófico"),CONCATENATE("R8C",'Mapa final'!$R$52),"")</f>
        <v/>
      </c>
      <c r="AN43" s="83"/>
      <c r="AO43" s="406"/>
      <c r="AP43" s="407"/>
      <c r="AQ43" s="407"/>
      <c r="AR43" s="407"/>
      <c r="AS43" s="407"/>
      <c r="AT43" s="40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84"/>
      <c r="C44" s="284"/>
      <c r="D44" s="285"/>
      <c r="E44" s="385"/>
      <c r="F44" s="386"/>
      <c r="G44" s="386"/>
      <c r="H44" s="386"/>
      <c r="I44" s="384"/>
      <c r="J44" s="76" t="str">
        <f ca="1">IF(AND('Mapa final'!$AB$59="Baja",'Mapa final'!$AD$59="Leve"),CONCATENATE("R9C",'Mapa final'!$R$59),"")</f>
        <v/>
      </c>
      <c r="K44" s="77" t="str">
        <f ca="1">IF(AND('Mapa final'!$AB$60="Baja",'Mapa final'!$AD$60="Leve"),CONCATENATE("R9C",'Mapa final'!$R$60),"")</f>
        <v/>
      </c>
      <c r="L44" s="77" t="str">
        <f>IF(AND('Mapa final'!$AB$61="Baja",'Mapa final'!$AD$61="Leve"),CONCATENATE("R9C",'Mapa final'!$R$61),"")</f>
        <v/>
      </c>
      <c r="M44" s="77" t="str">
        <f>IF(AND('Mapa final'!$AB$62="Baja",'Mapa final'!$AD$62="Leve"),CONCATENATE("R9C",'Mapa final'!$R$62),"")</f>
        <v/>
      </c>
      <c r="N44" s="77" t="str">
        <f>IF(AND('Mapa final'!$AB$63="Baja",'Mapa final'!$AD$63="Leve"),CONCATENATE("R9C",'Mapa final'!$R$63),"")</f>
        <v/>
      </c>
      <c r="O44" s="78" t="str">
        <f>IF(AND('Mapa final'!$AB$70="Baja",'Mapa final'!$AD$70="Leve"),CONCATENATE("R9C",'Mapa final'!$R$70),"")</f>
        <v/>
      </c>
      <c r="P44" s="67" t="str">
        <f ca="1">IF(AND('Mapa final'!$AB$59="Baja",'Mapa final'!$AD$59="Menor"),CONCATENATE("R9C",'Mapa final'!$R$59),"")</f>
        <v/>
      </c>
      <c r="Q44" s="68" t="str">
        <f ca="1">IF(AND('Mapa final'!$AB$60="Baja",'Mapa final'!$AD$60="Menor"),CONCATENATE("R9C",'Mapa final'!$R$60),"")</f>
        <v>R9C2</v>
      </c>
      <c r="R44" s="68" t="str">
        <f>IF(AND('Mapa final'!$AB$61="Baja",'Mapa final'!$AD$61="Menor"),CONCATENATE("R9C",'Mapa final'!$R$61),"")</f>
        <v/>
      </c>
      <c r="S44" s="68" t="str">
        <f>IF(AND('Mapa final'!$AB$62="Baja",'Mapa final'!$AD$62="Menor"),CONCATENATE("R9C",'Mapa final'!$R$62),"")</f>
        <v/>
      </c>
      <c r="T44" s="68" t="str">
        <f>IF(AND('Mapa final'!$AB$63="Baja",'Mapa final'!$AD$63="Menor"),CONCATENATE("R9C",'Mapa final'!$R$63),"")</f>
        <v/>
      </c>
      <c r="U44" s="69" t="str">
        <f>IF(AND('Mapa final'!$AB$70="Baja",'Mapa final'!$AD$70="Menor"),CONCATENATE("R9C",'Mapa final'!$R$70),"")</f>
        <v/>
      </c>
      <c r="V44" s="67" t="str">
        <f ca="1">IF(AND('Mapa final'!$AB$59="Baja",'Mapa final'!$AD$59="Moderado"),CONCATENATE("R9C",'Mapa final'!$R$59),"")</f>
        <v/>
      </c>
      <c r="W44" s="68" t="str">
        <f ca="1">IF(AND('Mapa final'!$AB$60="Baja",'Mapa final'!$AD$60="Moderado"),CONCATENATE("R9C",'Mapa final'!$R$60),"")</f>
        <v/>
      </c>
      <c r="X44" s="68" t="str">
        <f>IF(AND('Mapa final'!$AB$61="Baja",'Mapa final'!$AD$61="Moderado"),CONCATENATE("R9C",'Mapa final'!$R$61),"")</f>
        <v/>
      </c>
      <c r="Y44" s="68" t="str">
        <f>IF(AND('Mapa final'!$AB$62="Baja",'Mapa final'!$AD$62="Moderado"),CONCATENATE("R9C",'Mapa final'!$R$62),"")</f>
        <v/>
      </c>
      <c r="Z44" s="68" t="str">
        <f>IF(AND('Mapa final'!$AB$63="Baja",'Mapa final'!$AD$63="Moderado"),CONCATENATE("R9C",'Mapa final'!$R$63),"")</f>
        <v/>
      </c>
      <c r="AA44" s="69" t="str">
        <f>IF(AND('Mapa final'!$AB$70="Baja",'Mapa final'!$AD$70="Moderado"),CONCATENATE("R9C",'Mapa final'!$R$70),"")</f>
        <v/>
      </c>
      <c r="AB44" s="51" t="str">
        <f ca="1">IF(AND('Mapa final'!$AB$59="Baja",'Mapa final'!$AD$59="Mayor"),CONCATENATE("R9C",'Mapa final'!$R$59),"")</f>
        <v/>
      </c>
      <c r="AC44" s="52" t="str">
        <f ca="1">IF(AND('Mapa final'!$AB$60="Baja",'Mapa final'!$AD$60="Mayor"),CONCATENATE("R9C",'Mapa final'!$R$60),"")</f>
        <v/>
      </c>
      <c r="AD44" s="57" t="str">
        <f>IF(AND('Mapa final'!$AB$61="Baja",'Mapa final'!$AD$61="Mayor"),CONCATENATE("R9C",'Mapa final'!$R$61),"")</f>
        <v/>
      </c>
      <c r="AE44" s="57" t="str">
        <f>IF(AND('Mapa final'!$AB$62="Baja",'Mapa final'!$AD$62="Mayor"),CONCATENATE("R9C",'Mapa final'!$R$62),"")</f>
        <v/>
      </c>
      <c r="AF44" s="57" t="str">
        <f>IF(AND('Mapa final'!$AB$63="Baja",'Mapa final'!$AD$63="Mayor"),CONCATENATE("R9C",'Mapa final'!$R$63),"")</f>
        <v/>
      </c>
      <c r="AG44" s="53" t="str">
        <f>IF(AND('Mapa final'!$AB$70="Baja",'Mapa final'!$AD$70="Mayor"),CONCATENATE("R9C",'Mapa final'!$R$70),"")</f>
        <v/>
      </c>
      <c r="AH44" s="54" t="str">
        <f ca="1">IF(AND('Mapa final'!$AB$59="Baja",'Mapa final'!$AD$59="Catastrófico"),CONCATENATE("R9C",'Mapa final'!$R$59),"")</f>
        <v/>
      </c>
      <c r="AI44" s="55" t="str">
        <f ca="1">IF(AND('Mapa final'!$AB$60="Baja",'Mapa final'!$AD$60="Catastrófico"),CONCATENATE("R9C",'Mapa final'!$R$60),"")</f>
        <v/>
      </c>
      <c r="AJ44" s="55" t="str">
        <f>IF(AND('Mapa final'!$AB$61="Baja",'Mapa final'!$AD$61="Catastrófico"),CONCATENATE("R9C",'Mapa final'!$R$61),"")</f>
        <v/>
      </c>
      <c r="AK44" s="55" t="str">
        <f>IF(AND('Mapa final'!$AB$62="Baja",'Mapa final'!$AD$62="Catastrófico"),CONCATENATE("R9C",'Mapa final'!$R$62),"")</f>
        <v/>
      </c>
      <c r="AL44" s="55" t="str">
        <f>IF(AND('Mapa final'!$AB$63="Baja",'Mapa final'!$AD$63="Catastrófico"),CONCATENATE("R9C",'Mapa final'!$R$63),"")</f>
        <v/>
      </c>
      <c r="AM44" s="56" t="str">
        <f>IF(AND('Mapa final'!$AB$70="Baja",'Mapa final'!$AD$70="Catastrófico"),CONCATENATE("R9C",'Mapa final'!$R$70),"")</f>
        <v/>
      </c>
      <c r="AN44" s="83"/>
      <c r="AO44" s="406"/>
      <c r="AP44" s="407"/>
      <c r="AQ44" s="407"/>
      <c r="AR44" s="407"/>
      <c r="AS44" s="407"/>
      <c r="AT44" s="40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84"/>
      <c r="C45" s="284"/>
      <c r="D45" s="285"/>
      <c r="E45" s="387"/>
      <c r="F45" s="388"/>
      <c r="G45" s="388"/>
      <c r="H45" s="388"/>
      <c r="I45" s="388"/>
      <c r="J45" s="79" t="str">
        <f ca="1">IF(AND('Mapa final'!$AB$71="Baja",'Mapa final'!$AD$71="Leve"),CONCATENATE("R10C",'Mapa final'!$R$71),"")</f>
        <v/>
      </c>
      <c r="K45" s="80" t="str">
        <f ca="1">IF(AND('Mapa final'!$AB$72="Baja",'Mapa final'!$AD$72="Leve"),CONCATENATE("R10C",'Mapa final'!$R$72),"")</f>
        <v/>
      </c>
      <c r="L45" s="80" t="str">
        <f ca="1">IF(AND('Mapa final'!$AB$73="Baja",'Mapa final'!$AD$73="Leve"),CONCATENATE("R10C",'Mapa final'!$R$73),"")</f>
        <v/>
      </c>
      <c r="M45" s="80" t="str">
        <f>IF(AND('Mapa final'!$AB$74="Baja",'Mapa final'!$AD$74="Leve"),CONCATENATE("R10C",'Mapa final'!$R$74),"")</f>
        <v/>
      </c>
      <c r="N45" s="80" t="str">
        <f>IF(AND('Mapa final'!$AB$75="Baja",'Mapa final'!$AD$75="Leve"),CONCATENATE("R10C",'Mapa final'!$R$75),"")</f>
        <v/>
      </c>
      <c r="O45" s="81" t="str">
        <f>IF(AND('Mapa final'!$AB$76="Baja",'Mapa final'!$AD$76="Leve"),CONCATENATE("R10C",'Mapa final'!$R$76),"")</f>
        <v/>
      </c>
      <c r="P45" s="67" t="str">
        <f ca="1">IF(AND('Mapa final'!$AB$71="Baja",'Mapa final'!$AD$71="Menor"),CONCATENATE("R10C",'Mapa final'!$R$71),"")</f>
        <v>R10C1</v>
      </c>
      <c r="Q45" s="68" t="str">
        <f ca="1">IF(AND('Mapa final'!$AB$72="Baja",'Mapa final'!$AD$72="Menor"),CONCATENATE("R10C",'Mapa final'!$R$72),"")</f>
        <v>R10C2</v>
      </c>
      <c r="R45" s="68" t="str">
        <f ca="1">IF(AND('Mapa final'!$AB$73="Baja",'Mapa final'!$AD$73="Menor"),CONCATENATE("R10C",'Mapa final'!$R$73),"")</f>
        <v/>
      </c>
      <c r="S45" s="68" t="str">
        <f>IF(AND('Mapa final'!$AB$74="Baja",'Mapa final'!$AD$74="Menor"),CONCATENATE("R10C",'Mapa final'!$R$74),"")</f>
        <v/>
      </c>
      <c r="T45" s="68" t="str">
        <f>IF(AND('Mapa final'!$AB$75="Baja",'Mapa final'!$AD$75="Menor"),CONCATENATE("R10C",'Mapa final'!$R$75),"")</f>
        <v/>
      </c>
      <c r="U45" s="69" t="str">
        <f>IF(AND('Mapa final'!$AB$76="Baja",'Mapa final'!$AD$76="Menor"),CONCATENATE("R10C",'Mapa final'!$R$76),"")</f>
        <v/>
      </c>
      <c r="V45" s="70" t="str">
        <f ca="1">IF(AND('Mapa final'!$AB$71="Baja",'Mapa final'!$AD$71="Moderado"),CONCATENATE("R10C",'Mapa final'!$R$71),"")</f>
        <v/>
      </c>
      <c r="W45" s="71" t="str">
        <f ca="1">IF(AND('Mapa final'!$AB$72="Baja",'Mapa final'!$AD$72="Moderado"),CONCATENATE("R10C",'Mapa final'!$R$72),"")</f>
        <v/>
      </c>
      <c r="X45" s="71" t="str">
        <f ca="1">IF(AND('Mapa final'!$AB$73="Baja",'Mapa final'!$AD$73="Moderado"),CONCATENATE("R10C",'Mapa final'!$R$73),"")</f>
        <v/>
      </c>
      <c r="Y45" s="71" t="str">
        <f>IF(AND('Mapa final'!$AB$74="Baja",'Mapa final'!$AD$74="Moderado"),CONCATENATE("R10C",'Mapa final'!$R$74),"")</f>
        <v/>
      </c>
      <c r="Z45" s="71" t="str">
        <f>IF(AND('Mapa final'!$AB$75="Baja",'Mapa final'!$AD$75="Moderado"),CONCATENATE("R10C",'Mapa final'!$R$75),"")</f>
        <v/>
      </c>
      <c r="AA45" s="72" t="str">
        <f>IF(AND('Mapa final'!$AB$76="Baja",'Mapa final'!$AD$76="Moderado"),CONCATENATE("R10C",'Mapa final'!$R$76),"")</f>
        <v/>
      </c>
      <c r="AB45" s="58" t="str">
        <f ca="1">IF(AND('Mapa final'!$AB$71="Baja",'Mapa final'!$AD$71="Mayor"),CONCATENATE("R10C",'Mapa final'!$R$71),"")</f>
        <v/>
      </c>
      <c r="AC45" s="59" t="str">
        <f ca="1">IF(AND('Mapa final'!$AB$72="Baja",'Mapa final'!$AD$72="Mayor"),CONCATENATE("R10C",'Mapa final'!$R$72),"")</f>
        <v/>
      </c>
      <c r="AD45" s="59" t="str">
        <f ca="1">IF(AND('Mapa final'!$AB$73="Baja",'Mapa final'!$AD$73="Mayor"),CONCATENATE("R10C",'Mapa final'!$R$73),"")</f>
        <v/>
      </c>
      <c r="AE45" s="59" t="str">
        <f>IF(AND('Mapa final'!$AB$74="Baja",'Mapa final'!$AD$74="Mayor"),CONCATENATE("R10C",'Mapa final'!$R$74),"")</f>
        <v/>
      </c>
      <c r="AF45" s="59" t="str">
        <f>IF(AND('Mapa final'!$AB$75="Baja",'Mapa final'!$AD$75="Mayor"),CONCATENATE("R10C",'Mapa final'!$R$75),"")</f>
        <v/>
      </c>
      <c r="AG45" s="60" t="str">
        <f>IF(AND('Mapa final'!$AB$76="Baja",'Mapa final'!$AD$76="Mayor"),CONCATENATE("R10C",'Mapa final'!$R$76),"")</f>
        <v/>
      </c>
      <c r="AH45" s="61" t="str">
        <f ca="1">IF(AND('Mapa final'!$AB$71="Baja",'Mapa final'!$AD$71="Catastrófico"),CONCATENATE("R10C",'Mapa final'!$R$71),"")</f>
        <v/>
      </c>
      <c r="AI45" s="62" t="str">
        <f ca="1">IF(AND('Mapa final'!$AB$72="Baja",'Mapa final'!$AD$72="Catastrófico"),CONCATENATE("R10C",'Mapa final'!$R$72),"")</f>
        <v/>
      </c>
      <c r="AJ45" s="62" t="str">
        <f ca="1">IF(AND('Mapa final'!$AB$73="Baja",'Mapa final'!$AD$73="Catastrófico"),CONCATENATE("R10C",'Mapa final'!$R$73),"")</f>
        <v/>
      </c>
      <c r="AK45" s="62" t="str">
        <f>IF(AND('Mapa final'!$AB$74="Baja",'Mapa final'!$AD$74="Catastrófico"),CONCATENATE("R10C",'Mapa final'!$R$74),"")</f>
        <v/>
      </c>
      <c r="AL45" s="62" t="str">
        <f>IF(AND('Mapa final'!$AB$75="Baja",'Mapa final'!$AD$75="Catastrófico"),CONCATENATE("R10C",'Mapa final'!$R$75),"")</f>
        <v/>
      </c>
      <c r="AM45" s="63" t="str">
        <f>IF(AND('Mapa final'!$AB$76="Baja",'Mapa final'!$AD$76="Catastrófico"),CONCATENATE("R10C",'Mapa final'!$R$76),"")</f>
        <v/>
      </c>
      <c r="AN45" s="83"/>
      <c r="AO45" s="409"/>
      <c r="AP45" s="410"/>
      <c r="AQ45" s="410"/>
      <c r="AR45" s="410"/>
      <c r="AS45" s="410"/>
      <c r="AT45" s="411"/>
    </row>
    <row r="46" spans="1:80" ht="46.5" customHeight="1" x14ac:dyDescent="0.35">
      <c r="A46" s="83"/>
      <c r="B46" s="284"/>
      <c r="C46" s="284"/>
      <c r="D46" s="285"/>
      <c r="E46" s="381" t="s">
        <v>105</v>
      </c>
      <c r="F46" s="382"/>
      <c r="G46" s="382"/>
      <c r="H46" s="382"/>
      <c r="I46" s="400"/>
      <c r="J46" s="73" t="str">
        <f ca="1">IF(AND('Mapa final'!$AB$11="Muy Baja",'Mapa final'!$AD$11="Leve"),CONCATENATE("R1C",'Mapa final'!$R$11),"")</f>
        <v>R1C1</v>
      </c>
      <c r="K46" s="74" t="str">
        <f ca="1">IF(AND('Mapa final'!$AB$12="Muy Baja",'Mapa final'!$AD$12="Leve"),CONCATENATE("R1C",'Mapa final'!$R$12),"")</f>
        <v>R1C2</v>
      </c>
      <c r="L46" s="74" t="str">
        <f>IF(AND('Mapa final'!$AB$13="Muy Baja",'Mapa final'!$AD$13="Leve"),CONCATENATE("R1C",'Mapa final'!$R$13),"")</f>
        <v/>
      </c>
      <c r="M46" s="74" t="str">
        <f>IF(AND('Mapa final'!$AB$14="Muy Baja",'Mapa final'!$AD$14="Leve"),CONCATENATE("R1C",'Mapa final'!$R$14),"")</f>
        <v/>
      </c>
      <c r="N46" s="74" t="str">
        <f>IF(AND('Mapa final'!$AB$15="Muy Baja",'Mapa final'!$AD$15="Leve"),CONCATENATE("R1C",'Mapa final'!$R$15),"")</f>
        <v/>
      </c>
      <c r="O46" s="75" t="str">
        <f>IF(AND('Mapa final'!$AB$16="Muy Baja",'Mapa final'!$AD$16="Leve"),CONCATENATE("R1C",'Mapa final'!$R$16),"")</f>
        <v/>
      </c>
      <c r="P46" s="73" t="str">
        <f ca="1">IF(AND('Mapa final'!$AB$11="Muy Baja",'Mapa final'!$AD$11="Menor"),CONCATENATE("R1C",'Mapa final'!$R$11),"")</f>
        <v/>
      </c>
      <c r="Q46" s="74" t="str">
        <f ca="1">IF(AND('Mapa final'!$AB$12="Muy Baja",'Mapa final'!$AD$12="Menor"),CONCATENATE("R1C",'Mapa final'!$R$12),"")</f>
        <v/>
      </c>
      <c r="R46" s="74" t="str">
        <f>IF(AND('Mapa final'!$AB$13="Muy Baja",'Mapa final'!$AD$13="Menor"),CONCATENATE("R1C",'Mapa final'!$R$13),"")</f>
        <v/>
      </c>
      <c r="S46" s="74" t="str">
        <f>IF(AND('Mapa final'!$AB$14="Muy Baja",'Mapa final'!$AD$14="Menor"),CONCATENATE("R1C",'Mapa final'!$R$14),"")</f>
        <v/>
      </c>
      <c r="T46" s="74" t="str">
        <f>IF(AND('Mapa final'!$AB$15="Muy Baja",'Mapa final'!$AD$15="Menor"),CONCATENATE("R1C",'Mapa final'!$R$15),"")</f>
        <v/>
      </c>
      <c r="U46" s="75" t="str">
        <f>IF(AND('Mapa final'!$AB$16="Muy Baja",'Mapa final'!$AD$16="Menor"),CONCATENATE("R1C",'Mapa final'!$R$16),"")</f>
        <v/>
      </c>
      <c r="V46" s="64" t="str">
        <f ca="1">IF(AND('Mapa final'!$AB$11="Muy Baja",'Mapa final'!$AD$11="Moderado"),CONCATENATE("R1C",'Mapa final'!$R$11),"")</f>
        <v/>
      </c>
      <c r="W46" s="82" t="str">
        <f ca="1">IF(AND('Mapa final'!$AB$12="Muy Baja",'Mapa final'!$AD$12="Moderado"),CONCATENATE("R1C",'Mapa final'!$R$12),"")</f>
        <v/>
      </c>
      <c r="X46" s="65" t="str">
        <f>IF(AND('Mapa final'!$AB$13="Muy Baja",'Mapa final'!$AD$13="Moderado"),CONCATENATE("R1C",'Mapa final'!$R$13),"")</f>
        <v/>
      </c>
      <c r="Y46" s="65" t="str">
        <f>IF(AND('Mapa final'!$AB$14="Muy Baja",'Mapa final'!$AD$14="Moderado"),CONCATENATE("R1C",'Mapa final'!$R$14),"")</f>
        <v/>
      </c>
      <c r="Z46" s="65" t="str">
        <f>IF(AND('Mapa final'!$AB$15="Muy Baja",'Mapa final'!$AD$15="Moderado"),CONCATENATE("R1C",'Mapa final'!$R$15),"")</f>
        <v/>
      </c>
      <c r="AA46" s="66" t="str">
        <f>IF(AND('Mapa final'!$AB$16="Muy Baja",'Mapa final'!$AD$16="Moderado"),CONCATENATE("R1C",'Mapa final'!$R$16),"")</f>
        <v/>
      </c>
      <c r="AB46" s="45" t="str">
        <f ca="1">IF(AND('Mapa final'!$AB$11="Muy Baja",'Mapa final'!$AD$11="Mayor"),CONCATENATE("R1C",'Mapa final'!$R$11),"")</f>
        <v/>
      </c>
      <c r="AC46" s="46" t="str">
        <f ca="1">IF(AND('Mapa final'!$AB$12="Muy Baja",'Mapa final'!$AD$12="Mayor"),CONCATENATE("R1C",'Mapa final'!$R$12),"")</f>
        <v/>
      </c>
      <c r="AD46" s="46" t="str">
        <f>IF(AND('Mapa final'!$AB$13="Muy Baja",'Mapa final'!$AD$13="Mayor"),CONCATENATE("R1C",'Mapa final'!$R$13),"")</f>
        <v/>
      </c>
      <c r="AE46" s="46" t="str">
        <f>IF(AND('Mapa final'!$AB$14="Muy Baja",'Mapa final'!$AD$14="Mayor"),CONCATENATE("R1C",'Mapa final'!$R$14),"")</f>
        <v/>
      </c>
      <c r="AF46" s="46" t="str">
        <f>IF(AND('Mapa final'!$AB$15="Muy Baja",'Mapa final'!$AD$15="Mayor"),CONCATENATE("R1C",'Mapa final'!$R$15),"")</f>
        <v/>
      </c>
      <c r="AG46" s="47" t="str">
        <f>IF(AND('Mapa final'!$AB$16="Muy Baja",'Mapa final'!$AD$16="Mayor"),CONCATENATE("R1C",'Mapa final'!$R$16),"")</f>
        <v/>
      </c>
      <c r="AH46" s="48" t="str">
        <f ca="1">IF(AND('Mapa final'!$AB$11="Muy Baja",'Mapa final'!$AD$11="Catastrófico"),CONCATENATE("R1C",'Mapa final'!$R$11),"")</f>
        <v/>
      </c>
      <c r="AI46" s="49" t="str">
        <f ca="1">IF(AND('Mapa final'!$AB$12="Muy Baja",'Mapa final'!$AD$12="Catastrófico"),CONCATENATE("R1C",'Mapa final'!$R$12),"")</f>
        <v/>
      </c>
      <c r="AJ46" s="49" t="str">
        <f>IF(AND('Mapa final'!$AB$13="Muy Baja",'Mapa final'!$AD$13="Catastrófico"),CONCATENATE("R1C",'Mapa final'!$R$13),"")</f>
        <v/>
      </c>
      <c r="AK46" s="49" t="str">
        <f>IF(AND('Mapa final'!$AB$14="Muy Baja",'Mapa final'!$AD$14="Catastrófico"),CONCATENATE("R1C",'Mapa final'!$R$14),"")</f>
        <v/>
      </c>
      <c r="AL46" s="49" t="str">
        <f>IF(AND('Mapa final'!$AB$15="Muy Baja",'Mapa final'!$AD$15="Catastrófico"),CONCATENATE("R1C",'Mapa final'!$R$15),"")</f>
        <v/>
      </c>
      <c r="AM46" s="50" t="str">
        <f>IF(AND('Mapa final'!$AB$16="Muy Baja",'Mapa final'!$AD$16="Catastrófico"),CONCATENATE("R1C",'Mapa final'!$R$16),"")</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84"/>
      <c r="C47" s="284"/>
      <c r="D47" s="285"/>
      <c r="E47" s="383"/>
      <c r="F47" s="384"/>
      <c r="G47" s="384"/>
      <c r="H47" s="384"/>
      <c r="I47" s="401"/>
      <c r="J47" s="76" t="str">
        <f ca="1">IF(AND('Mapa final'!$AB$17="Muy Baja",'Mapa final'!$AD$17="Leve"),CONCATENATE("R2C",'Mapa final'!$R$17),"")</f>
        <v>R2C1</v>
      </c>
      <c r="K47" s="77" t="str">
        <f ca="1">IF(AND('Mapa final'!$AB$18="Muy Baja",'Mapa final'!$AD$18="Leve"),CONCATENATE("R2C",'Mapa final'!$R$18),"")</f>
        <v>R2C2</v>
      </c>
      <c r="L47" s="77" t="str">
        <f ca="1">IF(AND('Mapa final'!$AB$19="Muy Baja",'Mapa final'!$AD$19="Leve"),CONCATENATE("R2C",'Mapa final'!$R$19),"")</f>
        <v>R2C3</v>
      </c>
      <c r="M47" s="77" t="str">
        <f>IF(AND('Mapa final'!$AB$20="Muy Baja",'Mapa final'!$AD$20="Leve"),CONCATENATE("R2C",'Mapa final'!$R$20),"")</f>
        <v/>
      </c>
      <c r="N47" s="77" t="str">
        <f>IF(AND('Mapa final'!$AB$21="Muy Baja",'Mapa final'!$AD$21="Leve"),CONCATENATE("R2C",'Mapa final'!$R$21),"")</f>
        <v/>
      </c>
      <c r="O47" s="78" t="str">
        <f>IF(AND('Mapa final'!$AB$22="Muy Baja",'Mapa final'!$AD$22="Leve"),CONCATENATE("R2C",'Mapa final'!$R$22),"")</f>
        <v/>
      </c>
      <c r="P47" s="76" t="str">
        <f ca="1">IF(AND('Mapa final'!$AB$17="Muy Baja",'Mapa final'!$AD$17="Menor"),CONCATENATE("R2C",'Mapa final'!$R$17),"")</f>
        <v/>
      </c>
      <c r="Q47" s="77" t="str">
        <f ca="1">IF(AND('Mapa final'!$AB$18="Muy Baja",'Mapa final'!$AD$18="Menor"),CONCATENATE("R2C",'Mapa final'!$R$18),"")</f>
        <v/>
      </c>
      <c r="R47" s="77" t="str">
        <f ca="1">IF(AND('Mapa final'!$AB$19="Muy Baja",'Mapa final'!$AD$19="Menor"),CONCATENATE("R2C",'Mapa final'!$R$19),"")</f>
        <v/>
      </c>
      <c r="S47" s="77" t="str">
        <f>IF(AND('Mapa final'!$AB$20="Muy Baja",'Mapa final'!$AD$20="Menor"),CONCATENATE("R2C",'Mapa final'!$R$20),"")</f>
        <v/>
      </c>
      <c r="T47" s="77" t="str">
        <f>IF(AND('Mapa final'!$AB$21="Muy Baja",'Mapa final'!$AD$21="Menor"),CONCATENATE("R2C",'Mapa final'!$R$21),"")</f>
        <v/>
      </c>
      <c r="U47" s="78" t="str">
        <f>IF(AND('Mapa final'!$AB$22="Muy Baja",'Mapa final'!$AD$22="Menor"),CONCATENATE("R2C",'Mapa final'!$R$22),"")</f>
        <v/>
      </c>
      <c r="V47" s="67" t="str">
        <f ca="1">IF(AND('Mapa final'!$AB$17="Muy Baja",'Mapa final'!$AD$17="Moderado"),CONCATENATE("R2C",'Mapa final'!$R$17),"")</f>
        <v/>
      </c>
      <c r="W47" s="68" t="str">
        <f ca="1">IF(AND('Mapa final'!$AB$18="Muy Baja",'Mapa final'!$AD$18="Moderado"),CONCATENATE("R2C",'Mapa final'!$R$18),"")</f>
        <v/>
      </c>
      <c r="X47" s="68" t="str">
        <f ca="1">IF(AND('Mapa final'!$AB$19="Muy Baja",'Mapa final'!$AD$19="Moderado"),CONCATENATE("R2C",'Mapa final'!$R$19),"")</f>
        <v/>
      </c>
      <c r="Y47" s="68" t="str">
        <f>IF(AND('Mapa final'!$AB$20="Muy Baja",'Mapa final'!$AD$20="Moderado"),CONCATENATE("R2C",'Mapa final'!$R$20),"")</f>
        <v/>
      </c>
      <c r="Z47" s="68" t="str">
        <f>IF(AND('Mapa final'!$AB$21="Muy Baja",'Mapa final'!$AD$21="Moderado"),CONCATENATE("R2C",'Mapa final'!$R$21),"")</f>
        <v/>
      </c>
      <c r="AA47" s="69" t="str">
        <f>IF(AND('Mapa final'!$AB$22="Muy Baja",'Mapa final'!$AD$22="Moderado"),CONCATENATE("R2C",'Mapa final'!$R$22),"")</f>
        <v/>
      </c>
      <c r="AB47" s="51" t="str">
        <f ca="1">IF(AND('Mapa final'!$AB$17="Muy Baja",'Mapa final'!$AD$17="Mayor"),CONCATENATE("R2C",'Mapa final'!$R$17),"")</f>
        <v/>
      </c>
      <c r="AC47" s="52" t="str">
        <f ca="1">IF(AND('Mapa final'!$AB$18="Muy Baja",'Mapa final'!$AD$18="Mayor"),CONCATENATE("R2C",'Mapa final'!$R$18),"")</f>
        <v/>
      </c>
      <c r="AD47" s="52" t="str">
        <f ca="1">IF(AND('Mapa final'!$AB$19="Muy Baja",'Mapa final'!$AD$19="Mayor"),CONCATENATE("R2C",'Mapa final'!$R$19),"")</f>
        <v/>
      </c>
      <c r="AE47" s="52" t="str">
        <f>IF(AND('Mapa final'!$AB$20="Muy Baja",'Mapa final'!$AD$20="Mayor"),CONCATENATE("R2C",'Mapa final'!$R$20),"")</f>
        <v/>
      </c>
      <c r="AF47" s="52" t="str">
        <f>IF(AND('Mapa final'!$AB$21="Muy Baja",'Mapa final'!$AD$21="Mayor"),CONCATENATE("R2C",'Mapa final'!$R$21),"")</f>
        <v/>
      </c>
      <c r="AG47" s="53" t="str">
        <f>IF(AND('Mapa final'!$AB$22="Muy Baja",'Mapa final'!$AD$22="Mayor"),CONCATENATE("R2C",'Mapa final'!$R$22),"")</f>
        <v/>
      </c>
      <c r="AH47" s="54" t="str">
        <f ca="1">IF(AND('Mapa final'!$AB$17="Muy Baja",'Mapa final'!$AD$17="Catastrófico"),CONCATENATE("R2C",'Mapa final'!$R$17),"")</f>
        <v/>
      </c>
      <c r="AI47" s="55" t="str">
        <f ca="1">IF(AND('Mapa final'!$AB$18="Muy Baja",'Mapa final'!$AD$18="Catastrófico"),CONCATENATE("R2C",'Mapa final'!$R$18),"")</f>
        <v/>
      </c>
      <c r="AJ47" s="55" t="str">
        <f ca="1">IF(AND('Mapa final'!$AB$19="Muy Baja",'Mapa final'!$AD$19="Catastrófico"),CONCATENATE("R2C",'Mapa final'!$R$19),"")</f>
        <v/>
      </c>
      <c r="AK47" s="55" t="str">
        <f>IF(AND('Mapa final'!$AB$20="Muy Baja",'Mapa final'!$AD$20="Catastrófico"),CONCATENATE("R2C",'Mapa final'!$R$20),"")</f>
        <v/>
      </c>
      <c r="AL47" s="55" t="str">
        <f>IF(AND('Mapa final'!$AB$21="Muy Baja",'Mapa final'!$AD$21="Catastrófico"),CONCATENATE("R2C",'Mapa final'!$R$21),"")</f>
        <v/>
      </c>
      <c r="AM47" s="56" t="str">
        <f>IF(AND('Mapa final'!$AB$22="Muy Baja",'Mapa final'!$AD$22="Catastrófico"),CONCATENATE("R2C",'Mapa final'!$R$22),"")</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84"/>
      <c r="C48" s="284"/>
      <c r="D48" s="285"/>
      <c r="E48" s="383"/>
      <c r="F48" s="384"/>
      <c r="G48" s="384"/>
      <c r="H48" s="384"/>
      <c r="I48" s="401"/>
      <c r="J48" s="76" t="str">
        <f ca="1">IF(AND('Mapa final'!$AB$23="Muy Baja",'Mapa final'!$AD$23="Leve"),CONCATENATE("R3C",'Mapa final'!$R$23),"")</f>
        <v/>
      </c>
      <c r="K48" s="77" t="str">
        <f ca="1">IF(AND('Mapa final'!$AB$24="Muy Baja",'Mapa final'!$AD$24="Leve"),CONCATENATE("R3C",'Mapa final'!$R$24),"")</f>
        <v/>
      </c>
      <c r="L48" s="77" t="str">
        <f ca="1">IF(AND('Mapa final'!$AB$25="Muy Baja",'Mapa final'!$AD$25="Leve"),CONCATENATE("R3C",'Mapa final'!$R$25),"")</f>
        <v/>
      </c>
      <c r="M48" s="77" t="str">
        <f ca="1">IF(AND('Mapa final'!$AB$26="Muy Baja",'Mapa final'!$AD$26="Leve"),CONCATENATE("R3C",'Mapa final'!$R$26),"")</f>
        <v/>
      </c>
      <c r="N48" s="77" t="str">
        <f ca="1">IF(AND('Mapa final'!$AB$27="Muy Baja",'Mapa final'!$AD$27="Leve"),CONCATENATE("R3C",'Mapa final'!$R$27),"")</f>
        <v/>
      </c>
      <c r="O48" s="78" t="str">
        <f>IF(AND('Mapa final'!$AB$28="Muy Baja",'Mapa final'!$AD$28="Leve"),CONCATENATE("R3C",'Mapa final'!$R$28),"")</f>
        <v/>
      </c>
      <c r="P48" s="76" t="str">
        <f ca="1">IF(AND('Mapa final'!$AB$23="Muy Baja",'Mapa final'!$AD$23="Menor"),CONCATENATE("R3C",'Mapa final'!$R$23),"")</f>
        <v/>
      </c>
      <c r="Q48" s="77" t="str">
        <f ca="1">IF(AND('Mapa final'!$AB$24="Muy Baja",'Mapa final'!$AD$24="Menor"),CONCATENATE("R3C",'Mapa final'!$R$24),"")</f>
        <v/>
      </c>
      <c r="R48" s="77" t="str">
        <f ca="1">IF(AND('Mapa final'!$AB$25="Muy Baja",'Mapa final'!$AD$25="Menor"),CONCATENATE("R3C",'Mapa final'!$R$25),"")</f>
        <v>R3C3</v>
      </c>
      <c r="S48" s="77" t="str">
        <f ca="1">IF(AND('Mapa final'!$AB$26="Muy Baja",'Mapa final'!$AD$26="Menor"),CONCATENATE("R3C",'Mapa final'!$R$26),"")</f>
        <v>R3C4</v>
      </c>
      <c r="T48" s="77" t="str">
        <f ca="1">IF(AND('Mapa final'!$AB$27="Muy Baja",'Mapa final'!$AD$27="Menor"),CONCATENATE("R3C",'Mapa final'!$R$27),"")</f>
        <v>R3C5</v>
      </c>
      <c r="U48" s="78" t="str">
        <f>IF(AND('Mapa final'!$AB$28="Muy Baja",'Mapa final'!$AD$28="Menor"),CONCATENATE("R3C",'Mapa final'!$R$28),"")</f>
        <v/>
      </c>
      <c r="V48" s="67" t="str">
        <f ca="1">IF(AND('Mapa final'!$AB$23="Muy Baja",'Mapa final'!$AD$23="Moderado"),CONCATENATE("R3C",'Mapa final'!$R$23),"")</f>
        <v>R3C1</v>
      </c>
      <c r="W48" s="68" t="str">
        <f ca="1">IF(AND('Mapa final'!$AB$24="Muy Baja",'Mapa final'!$AD$24="Moderado"),CONCATENATE("R3C",'Mapa final'!$R$24),"")</f>
        <v>R3C2</v>
      </c>
      <c r="X48" s="68" t="str">
        <f ca="1">IF(AND('Mapa final'!$AB$25="Muy Baja",'Mapa final'!$AD$25="Moderado"),CONCATENATE("R3C",'Mapa final'!$R$25),"")</f>
        <v/>
      </c>
      <c r="Y48" s="68" t="str">
        <f ca="1">IF(AND('Mapa final'!$AB$26="Muy Baja",'Mapa final'!$AD$26="Moderado"),CONCATENATE("R3C",'Mapa final'!$R$26),"")</f>
        <v/>
      </c>
      <c r="Z48" s="68" t="str">
        <f ca="1">IF(AND('Mapa final'!$AB$27="Muy Baja",'Mapa final'!$AD$27="Moderado"),CONCATENATE("R3C",'Mapa final'!$R$27),"")</f>
        <v/>
      </c>
      <c r="AA48" s="69" t="str">
        <f>IF(AND('Mapa final'!$AB$28="Muy Baja",'Mapa final'!$AD$28="Moderado"),CONCATENATE("R3C",'Mapa final'!$R$28),"")</f>
        <v/>
      </c>
      <c r="AB48" s="51" t="str">
        <f ca="1">IF(AND('Mapa final'!$AB$23="Muy Baja",'Mapa final'!$AD$23="Mayor"),CONCATENATE("R3C",'Mapa final'!$R$23),"")</f>
        <v/>
      </c>
      <c r="AC48" s="52" t="str">
        <f ca="1">IF(AND('Mapa final'!$AB$24="Muy Baja",'Mapa final'!$AD$24="Mayor"),CONCATENATE("R3C",'Mapa final'!$R$24),"")</f>
        <v/>
      </c>
      <c r="AD48" s="52" t="str">
        <f ca="1">IF(AND('Mapa final'!$AB$25="Muy Baja",'Mapa final'!$AD$25="Mayor"),CONCATENATE("R3C",'Mapa final'!$R$25),"")</f>
        <v/>
      </c>
      <c r="AE48" s="52" t="str">
        <f ca="1">IF(AND('Mapa final'!$AB$26="Muy Baja",'Mapa final'!$AD$26="Mayor"),CONCATENATE("R3C",'Mapa final'!$R$26),"")</f>
        <v/>
      </c>
      <c r="AF48" s="52" t="str">
        <f ca="1">IF(AND('Mapa final'!$AB$27="Muy Baja",'Mapa final'!$AD$27="Mayor"),CONCATENATE("R3C",'Mapa final'!$R$27),"")</f>
        <v/>
      </c>
      <c r="AG48" s="53" t="str">
        <f>IF(AND('Mapa final'!$AB$28="Muy Baja",'Mapa final'!$AD$28="Mayor"),CONCATENATE("R3C",'Mapa final'!$R$28),"")</f>
        <v/>
      </c>
      <c r="AH48" s="54" t="str">
        <f ca="1">IF(AND('Mapa final'!$AB$23="Muy Baja",'Mapa final'!$AD$23="Catastrófico"),CONCATENATE("R3C",'Mapa final'!$R$23),"")</f>
        <v/>
      </c>
      <c r="AI48" s="55" t="str">
        <f ca="1">IF(AND('Mapa final'!$AB$24="Muy Baja",'Mapa final'!$AD$24="Catastrófico"),CONCATENATE("R3C",'Mapa final'!$R$24),"")</f>
        <v/>
      </c>
      <c r="AJ48" s="55" t="str">
        <f ca="1">IF(AND('Mapa final'!$AB$25="Muy Baja",'Mapa final'!$AD$25="Catastrófico"),CONCATENATE("R3C",'Mapa final'!$R$25),"")</f>
        <v/>
      </c>
      <c r="AK48" s="55" t="str">
        <f ca="1">IF(AND('Mapa final'!$AB$26="Muy Baja",'Mapa final'!$AD$26="Catastrófico"),CONCATENATE("R3C",'Mapa final'!$R$26),"")</f>
        <v/>
      </c>
      <c r="AL48" s="55" t="str">
        <f ca="1">IF(AND('Mapa final'!$AB$27="Muy Baja",'Mapa final'!$AD$27="Catastrófico"),CONCATENATE("R3C",'Mapa final'!$R$27),"")</f>
        <v/>
      </c>
      <c r="AM48" s="56" t="str">
        <f>IF(AND('Mapa final'!$AB$28="Muy Baja",'Mapa final'!$AD$28="Catastrófico"),CONCATENATE("R3C",'Mapa final'!$R$28),"")</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84"/>
      <c r="C49" s="284"/>
      <c r="D49" s="285"/>
      <c r="E49" s="385"/>
      <c r="F49" s="386"/>
      <c r="G49" s="386"/>
      <c r="H49" s="386"/>
      <c r="I49" s="401"/>
      <c r="J49" s="76" t="str">
        <f ca="1">IF(AND('Mapa final'!$AB$29="Muy Baja",'Mapa final'!$AD$29="Leve"),CONCATENATE("R4C",'Mapa final'!$R$29),"")</f>
        <v/>
      </c>
      <c r="K49" s="77" t="str">
        <f ca="1">IF(AND('Mapa final'!$AB$30="Muy Baja",'Mapa final'!$AD$30="Leve"),CONCATENATE("R4C",'Mapa final'!$R$30),"")</f>
        <v/>
      </c>
      <c r="L49" s="77" t="str">
        <f ca="1">IF(AND('Mapa final'!$AB$31="Muy Baja",'Mapa final'!$AD$31="Leve"),CONCATENATE("R4C",'Mapa final'!$R$31),"")</f>
        <v/>
      </c>
      <c r="M49" s="77" t="str">
        <f ca="1">IF(AND('Mapa final'!$AB$32="Muy Baja",'Mapa final'!$AD$32="Leve"),CONCATENATE("R4C",'Mapa final'!$R$32),"")</f>
        <v>R4C4</v>
      </c>
      <c r="N49" s="77" t="str">
        <f>IF(AND('Mapa final'!$AB$33="Muy Baja",'Mapa final'!$AD$33="Leve"),CONCATENATE("R4C",'Mapa final'!$R$33),"")</f>
        <v/>
      </c>
      <c r="O49" s="78" t="str">
        <f>IF(AND('Mapa final'!$AB$34="Muy Baja",'Mapa final'!$AD$34="Leve"),CONCATENATE("R4C",'Mapa final'!$R$34),"")</f>
        <v/>
      </c>
      <c r="P49" s="76" t="str">
        <f ca="1">IF(AND('Mapa final'!$AB$29="Muy Baja",'Mapa final'!$AD$29="Menor"),CONCATENATE("R4C",'Mapa final'!$R$29),"")</f>
        <v>R4C1</v>
      </c>
      <c r="Q49" s="77" t="str">
        <f ca="1">IF(AND('Mapa final'!$AB$30="Muy Baja",'Mapa final'!$AD$30="Menor"),CONCATENATE("R4C",'Mapa final'!$R$30),"")</f>
        <v>R4C2</v>
      </c>
      <c r="R49" s="77" t="str">
        <f ca="1">IF(AND('Mapa final'!$AB$31="Muy Baja",'Mapa final'!$AD$31="Menor"),CONCATENATE("R4C",'Mapa final'!$R$31),"")</f>
        <v>R4C3</v>
      </c>
      <c r="S49" s="77" t="str">
        <f ca="1">IF(AND('Mapa final'!$AB$32="Muy Baja",'Mapa final'!$AD$32="Menor"),CONCATENATE("R4C",'Mapa final'!$R$32),"")</f>
        <v/>
      </c>
      <c r="T49" s="77" t="str">
        <f>IF(AND('Mapa final'!$AB$33="Muy Baja",'Mapa final'!$AD$33="Menor"),CONCATENATE("R4C",'Mapa final'!$R$33),"")</f>
        <v/>
      </c>
      <c r="U49" s="78" t="str">
        <f>IF(AND('Mapa final'!$AB$34="Muy Baja",'Mapa final'!$AD$34="Menor"),CONCATENATE("R4C",'Mapa final'!$R$34),"")</f>
        <v/>
      </c>
      <c r="V49" s="67" t="str">
        <f ca="1">IF(AND('Mapa final'!$AB$29="Muy Baja",'Mapa final'!$AD$29="Moderado"),CONCATENATE("R4C",'Mapa final'!$R$29),"")</f>
        <v/>
      </c>
      <c r="W49" s="68" t="str">
        <f ca="1">IF(AND('Mapa final'!$AB$30="Muy Baja",'Mapa final'!$AD$30="Moderado"),CONCATENATE("R4C",'Mapa final'!$R$30),"")</f>
        <v/>
      </c>
      <c r="X49" s="68" t="str">
        <f ca="1">IF(AND('Mapa final'!$AB$31="Muy Baja",'Mapa final'!$AD$31="Moderado"),CONCATENATE("R4C",'Mapa final'!$R$31),"")</f>
        <v/>
      </c>
      <c r="Y49" s="68" t="str">
        <f ca="1">IF(AND('Mapa final'!$AB$32="Muy Baja",'Mapa final'!$AD$32="Moderado"),CONCATENATE("R4C",'Mapa final'!$R$32),"")</f>
        <v/>
      </c>
      <c r="Z49" s="68" t="str">
        <f>IF(AND('Mapa final'!$AB$33="Muy Baja",'Mapa final'!$AD$33="Moderado"),CONCATENATE("R4C",'Mapa final'!$R$33),"")</f>
        <v/>
      </c>
      <c r="AA49" s="69" t="str">
        <f>IF(AND('Mapa final'!$AB$34="Muy Baja",'Mapa final'!$AD$34="Moderado"),CONCATENATE("R4C",'Mapa final'!$R$34),"")</f>
        <v/>
      </c>
      <c r="AB49" s="51" t="str">
        <f ca="1">IF(AND('Mapa final'!$AB$29="Muy Baja",'Mapa final'!$AD$29="Mayor"),CONCATENATE("R4C",'Mapa final'!$R$29),"")</f>
        <v/>
      </c>
      <c r="AC49" s="52" t="str">
        <f ca="1">IF(AND('Mapa final'!$AB$30="Muy Baja",'Mapa final'!$AD$30="Mayor"),CONCATENATE("R4C",'Mapa final'!$R$30),"")</f>
        <v/>
      </c>
      <c r="AD49" s="52" t="str">
        <f ca="1">IF(AND('Mapa final'!$AB$31="Muy Baja",'Mapa final'!$AD$31="Mayor"),CONCATENATE("R4C",'Mapa final'!$R$31),"")</f>
        <v/>
      </c>
      <c r="AE49" s="52" t="str">
        <f ca="1">IF(AND('Mapa final'!$AB$32="Muy Baja",'Mapa final'!$AD$32="Mayor"),CONCATENATE("R4C",'Mapa final'!$R$32),"")</f>
        <v/>
      </c>
      <c r="AF49" s="52" t="str">
        <f>IF(AND('Mapa final'!$AB$33="Muy Baja",'Mapa final'!$AD$33="Mayor"),CONCATENATE("R4C",'Mapa final'!$R$33),"")</f>
        <v/>
      </c>
      <c r="AG49" s="53" t="str">
        <f>IF(AND('Mapa final'!$AB$34="Muy Baja",'Mapa final'!$AD$34="Mayor"),CONCATENATE("R4C",'Mapa final'!$R$34),"")</f>
        <v/>
      </c>
      <c r="AH49" s="54" t="str">
        <f ca="1">IF(AND('Mapa final'!$AB$29="Muy Baja",'Mapa final'!$AD$29="Catastrófico"),CONCATENATE("R4C",'Mapa final'!$R$29),"")</f>
        <v/>
      </c>
      <c r="AI49" s="55" t="str">
        <f ca="1">IF(AND('Mapa final'!$AB$30="Muy Baja",'Mapa final'!$AD$30="Catastrófico"),CONCATENATE("R4C",'Mapa final'!$R$30),"")</f>
        <v/>
      </c>
      <c r="AJ49" s="55" t="str">
        <f ca="1">IF(AND('Mapa final'!$AB$31="Muy Baja",'Mapa final'!$AD$31="Catastrófico"),CONCATENATE("R4C",'Mapa final'!$R$31),"")</f>
        <v/>
      </c>
      <c r="AK49" s="55" t="str">
        <f ca="1">IF(AND('Mapa final'!$AB$32="Muy Baja",'Mapa final'!$AD$32="Catastrófico"),CONCATENATE("R4C",'Mapa final'!$R$32),"")</f>
        <v/>
      </c>
      <c r="AL49" s="55" t="str">
        <f>IF(AND('Mapa final'!$AB$33="Muy Baja",'Mapa final'!$AD$33="Catastrófico"),CONCATENATE("R4C",'Mapa final'!$R$33),"")</f>
        <v/>
      </c>
      <c r="AM49" s="56" t="str">
        <f>IF(AND('Mapa final'!$AB$34="Muy Baja",'Mapa final'!$AD$34="Catastrófico"),CONCATENATE("R4C",'Mapa final'!$R$34),"")</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84"/>
      <c r="C50" s="284"/>
      <c r="D50" s="285"/>
      <c r="E50" s="385"/>
      <c r="F50" s="386"/>
      <c r="G50" s="386"/>
      <c r="H50" s="386"/>
      <c r="I50" s="401"/>
      <c r="J50" s="76" t="str">
        <f ca="1">IF(AND('Mapa final'!$AB$41="Muy Baja",'Mapa final'!$AD$41="Leve"),CONCATENATE("R5C",'Mapa final'!$R$41),"")</f>
        <v/>
      </c>
      <c r="K50" s="77" t="str">
        <f ca="1">IF(AND('Mapa final'!$AB$42="Muy Baja",'Mapa final'!$AD$42="Leve"),CONCATENATE("R5C",'Mapa final'!$R$42),"")</f>
        <v/>
      </c>
      <c r="L50" s="77" t="str">
        <f ca="1">IF(AND('Mapa final'!$AB$43="Muy Baja",'Mapa final'!$AD$43="Leve"),CONCATENATE("R5C",'Mapa final'!$R$43),"")</f>
        <v/>
      </c>
      <c r="M50" s="77" t="str">
        <f ca="1">IF(AND('Mapa final'!$AB$44="Muy Baja",'Mapa final'!$AD$44="Leve"),CONCATENATE("R5C",'Mapa final'!$R$44),"")</f>
        <v/>
      </c>
      <c r="N50" s="77" t="str">
        <f>IF(AND('Mapa final'!$AB$45="Muy Baja",'Mapa final'!$AD$45="Leve"),CONCATENATE("R5C",'Mapa final'!$R$45),"")</f>
        <v/>
      </c>
      <c r="O50" s="78" t="str">
        <f>IF(AND('Mapa final'!$AB$46="Muy Baja",'Mapa final'!$AD$46="Leve"),CONCATENATE("R5C",'Mapa final'!$R$46),"")</f>
        <v/>
      </c>
      <c r="P50" s="76" t="str">
        <f ca="1">IF(AND('Mapa final'!$AB$41="Muy Baja",'Mapa final'!$AD$41="Menor"),CONCATENATE("R5C",'Mapa final'!$R$41),"")</f>
        <v/>
      </c>
      <c r="Q50" s="77" t="str">
        <f ca="1">IF(AND('Mapa final'!$AB$42="Muy Baja",'Mapa final'!$AD$42="Menor"),CONCATENATE("R5C",'Mapa final'!$R$42),"")</f>
        <v/>
      </c>
      <c r="R50" s="77" t="str">
        <f ca="1">IF(AND('Mapa final'!$AB$43="Muy Baja",'Mapa final'!$AD$43="Menor"),CONCATENATE("R5C",'Mapa final'!$R$43),"")</f>
        <v/>
      </c>
      <c r="S50" s="77" t="str">
        <f ca="1">IF(AND('Mapa final'!$AB$44="Muy Baja",'Mapa final'!$AD$44="Menor"),CONCATENATE("R5C",'Mapa final'!$R$44),"")</f>
        <v/>
      </c>
      <c r="T50" s="77" t="str">
        <f>IF(AND('Mapa final'!$AB$45="Muy Baja",'Mapa final'!$AD$45="Menor"),CONCATENATE("R5C",'Mapa final'!$R$45),"")</f>
        <v/>
      </c>
      <c r="U50" s="78" t="str">
        <f>IF(AND('Mapa final'!$AB$46="Muy Baja",'Mapa final'!$AD$46="Menor"),CONCATENATE("R5C",'Mapa final'!$R$46),"")</f>
        <v/>
      </c>
      <c r="V50" s="67" t="str">
        <f ca="1">IF(AND('Mapa final'!$AB$41="Muy Baja",'Mapa final'!$AD$41="Moderado"),CONCATENATE("R5C",'Mapa final'!$R$41),"")</f>
        <v/>
      </c>
      <c r="W50" s="68" t="str">
        <f ca="1">IF(AND('Mapa final'!$AB$42="Muy Baja",'Mapa final'!$AD$42="Moderado"),CONCATENATE("R5C",'Mapa final'!$R$42),"")</f>
        <v/>
      </c>
      <c r="X50" s="68" t="str">
        <f ca="1">IF(AND('Mapa final'!$AB$43="Muy Baja",'Mapa final'!$AD$43="Moderado"),CONCATENATE("R5C",'Mapa final'!$R$43),"")</f>
        <v/>
      </c>
      <c r="Y50" s="68" t="str">
        <f ca="1">IF(AND('Mapa final'!$AB$44="Muy Baja",'Mapa final'!$AD$44="Moderado"),CONCATENATE("R5C",'Mapa final'!$R$44),"")</f>
        <v>R5C4</v>
      </c>
      <c r="Z50" s="68" t="str">
        <f>IF(AND('Mapa final'!$AB$45="Muy Baja",'Mapa final'!$AD$45="Moderado"),CONCATENATE("R5C",'Mapa final'!$R$45),"")</f>
        <v/>
      </c>
      <c r="AA50" s="69" t="str">
        <f>IF(AND('Mapa final'!$AB$46="Muy Baja",'Mapa final'!$AD$46="Moderado"),CONCATENATE("R5C",'Mapa final'!$R$46),"")</f>
        <v/>
      </c>
      <c r="AB50" s="51" t="str">
        <f ca="1">IF(AND('Mapa final'!$AB$41="Muy Baja",'Mapa final'!$AD$41="Mayor"),CONCATENATE("R5C",'Mapa final'!$R$41),"")</f>
        <v/>
      </c>
      <c r="AC50" s="52" t="str">
        <f ca="1">IF(AND('Mapa final'!$AB$42="Muy Baja",'Mapa final'!$AD$42="Mayor"),CONCATENATE("R5C",'Mapa final'!$R$42),"")</f>
        <v/>
      </c>
      <c r="AD50" s="57" t="str">
        <f ca="1">IF(AND('Mapa final'!$AB$43="Muy Baja",'Mapa final'!$AD$43="Mayor"),CONCATENATE("R5C",'Mapa final'!$R$43),"")</f>
        <v/>
      </c>
      <c r="AE50" s="57" t="str">
        <f ca="1">IF(AND('Mapa final'!$AB$44="Muy Baja",'Mapa final'!$AD$44="Mayor"),CONCATENATE("R5C",'Mapa final'!$R$44),"")</f>
        <v/>
      </c>
      <c r="AF50" s="57" t="str">
        <f>IF(AND('Mapa final'!$AB$45="Muy Baja",'Mapa final'!$AD$45="Mayor"),CONCATENATE("R5C",'Mapa final'!$R$45),"")</f>
        <v/>
      </c>
      <c r="AG50" s="53" t="str">
        <f>IF(AND('Mapa final'!$AB$46="Muy Baja",'Mapa final'!$AD$46="Mayor"),CONCATENATE("R5C",'Mapa final'!$R$46),"")</f>
        <v/>
      </c>
      <c r="AH50" s="54" t="str">
        <f ca="1">IF(AND('Mapa final'!$AB$41="Muy Baja",'Mapa final'!$AD$41="Catastrófico"),CONCATENATE("R5C",'Mapa final'!$R$41),"")</f>
        <v/>
      </c>
      <c r="AI50" s="55" t="str">
        <f ca="1">IF(AND('Mapa final'!$AB$42="Muy Baja",'Mapa final'!$AD$42="Catastrófico"),CONCATENATE("R5C",'Mapa final'!$R$42),"")</f>
        <v/>
      </c>
      <c r="AJ50" s="55" t="str">
        <f ca="1">IF(AND('Mapa final'!$AB$43="Muy Baja",'Mapa final'!$AD$43="Catastrófico"),CONCATENATE("R5C",'Mapa final'!$R$43),"")</f>
        <v/>
      </c>
      <c r="AK50" s="55" t="str">
        <f ca="1">IF(AND('Mapa final'!$AB$44="Muy Baja",'Mapa final'!$AD$44="Catastrófico"),CONCATENATE("R5C",'Mapa final'!$R$44),"")</f>
        <v/>
      </c>
      <c r="AL50" s="55" t="str">
        <f>IF(AND('Mapa final'!$AB$45="Muy Baja",'Mapa final'!$AD$45="Catastrófico"),CONCATENATE("R5C",'Mapa final'!$R$45),"")</f>
        <v/>
      </c>
      <c r="AM50" s="56" t="str">
        <f>IF(AND('Mapa final'!$AB$46="Muy Baja",'Mapa final'!$AD$46="Catastrófico"),CONCATENATE("R5C",'Mapa final'!$R$46),"")</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84"/>
      <c r="C51" s="284"/>
      <c r="D51" s="285"/>
      <c r="E51" s="385"/>
      <c r="F51" s="386"/>
      <c r="G51" s="386"/>
      <c r="H51" s="386"/>
      <c r="I51" s="401"/>
      <c r="J51" s="76" t="e">
        <f>IF(AND('Mapa final'!#REF!="Muy Baja",'Mapa final'!#REF!="Leve"),CONCATENATE("R6C",'Mapa final'!#REF!),"")</f>
        <v>#REF!</v>
      </c>
      <c r="K51" s="77" t="e">
        <f>IF(AND('Mapa final'!#REF!="Muy Baja",'Mapa final'!#REF!="Leve"),CONCATENATE("R6C",'Mapa final'!#REF!),"")</f>
        <v>#REF!</v>
      </c>
      <c r="L51" s="77" t="e">
        <f>IF(AND('Mapa final'!#REF!="Muy Baja",'Mapa final'!#REF!="Leve"),CONCATENATE("R6C",'Mapa final'!#REF!),"")</f>
        <v>#REF!</v>
      </c>
      <c r="M51" s="77" t="e">
        <f>IF(AND('Mapa final'!#REF!="Muy Baja",'Mapa final'!#REF!="Leve"),CONCATENATE("R6C",'Mapa final'!#REF!),"")</f>
        <v>#REF!</v>
      </c>
      <c r="N51" s="77" t="e">
        <f>IF(AND('Mapa final'!#REF!="Muy Baja",'Mapa final'!#REF!="Leve"),CONCATENATE("R6C",'Mapa final'!#REF!),"")</f>
        <v>#REF!</v>
      </c>
      <c r="O51" s="78" t="e">
        <f>IF(AND('Mapa final'!#REF!="Muy Baja",'Mapa final'!#REF!="Leve"),CONCATENATE("R6C",'Mapa final'!#REF!),"")</f>
        <v>#REF!</v>
      </c>
      <c r="P51" s="76" t="e">
        <f>IF(AND('Mapa final'!#REF!="Muy Baja",'Mapa final'!#REF!="Menor"),CONCATENATE("R6C",'Mapa final'!#REF!),"")</f>
        <v>#REF!</v>
      </c>
      <c r="Q51" s="77" t="e">
        <f>IF(AND('Mapa final'!#REF!="Muy Baja",'Mapa final'!#REF!="Menor"),CONCATENATE("R6C",'Mapa final'!#REF!),"")</f>
        <v>#REF!</v>
      </c>
      <c r="R51" s="77" t="e">
        <f>IF(AND('Mapa final'!#REF!="Muy Baja",'Mapa final'!#REF!="Menor"),CONCATENATE("R6C",'Mapa final'!#REF!),"")</f>
        <v>#REF!</v>
      </c>
      <c r="S51" s="77" t="e">
        <f>IF(AND('Mapa final'!#REF!="Muy Baja",'Mapa final'!#REF!="Menor"),CONCATENATE("R6C",'Mapa final'!#REF!),"")</f>
        <v>#REF!</v>
      </c>
      <c r="T51" s="77" t="e">
        <f>IF(AND('Mapa final'!#REF!="Muy Baja",'Mapa final'!#REF!="Menor"),CONCATENATE("R6C",'Mapa final'!#REF!),"")</f>
        <v>#REF!</v>
      </c>
      <c r="U51" s="78" t="e">
        <f>IF(AND('Mapa final'!#REF!="Muy Baja",'Mapa final'!#REF!="Menor"),CONCATENATE("R6C",'Mapa final'!#REF!),"")</f>
        <v>#REF!</v>
      </c>
      <c r="V51" s="67" t="e">
        <f>IF(AND('Mapa final'!#REF!="Muy Baja",'Mapa final'!#REF!="Moderado"),CONCATENATE("R6C",'Mapa final'!#REF!),"")</f>
        <v>#REF!</v>
      </c>
      <c r="W51" s="68" t="e">
        <f>IF(AND('Mapa final'!#REF!="Muy Baja",'Mapa final'!#REF!="Moderado"),CONCATENATE("R6C",'Mapa final'!#REF!),"")</f>
        <v>#REF!</v>
      </c>
      <c r="X51" s="68" t="e">
        <f>IF(AND('Mapa final'!#REF!="Muy Baja",'Mapa final'!#REF!="Moderado"),CONCATENATE("R6C",'Mapa final'!#REF!),"")</f>
        <v>#REF!</v>
      </c>
      <c r="Y51" s="68" t="e">
        <f>IF(AND('Mapa final'!#REF!="Muy Baja",'Mapa final'!#REF!="Moderado"),CONCATENATE("R6C",'Mapa final'!#REF!),"")</f>
        <v>#REF!</v>
      </c>
      <c r="Z51" s="68" t="e">
        <f>IF(AND('Mapa final'!#REF!="Muy Baja",'Mapa final'!#REF!="Moderado"),CONCATENATE("R6C",'Mapa final'!#REF!),"")</f>
        <v>#REF!</v>
      </c>
      <c r="AA51" s="69" t="e">
        <f>IF(AND('Mapa final'!#REF!="Muy Baja",'Mapa final'!#REF!="Moderado"),CONCATENATE("R6C",'Mapa final'!#REF!),"")</f>
        <v>#REF!</v>
      </c>
      <c r="AB51" s="51" t="e">
        <f>IF(AND('Mapa final'!#REF!="Muy Baja",'Mapa final'!#REF!="Mayor"),CONCATENATE("R6C",'Mapa final'!#REF!),"")</f>
        <v>#REF!</v>
      </c>
      <c r="AC51" s="52" t="e">
        <f>IF(AND('Mapa final'!#REF!="Muy Baja",'Mapa final'!#REF!="Mayor"),CONCATENATE("R6C",'Mapa final'!#REF!),"")</f>
        <v>#REF!</v>
      </c>
      <c r="AD51" s="57" t="e">
        <f>IF(AND('Mapa final'!#REF!="Muy Baja",'Mapa final'!#REF!="Mayor"),CONCATENATE("R6C",'Mapa final'!#REF!),"")</f>
        <v>#REF!</v>
      </c>
      <c r="AE51" s="57" t="e">
        <f>IF(AND('Mapa final'!#REF!="Muy Baja",'Mapa final'!#REF!="Mayor"),CONCATENATE("R6C",'Mapa final'!#REF!),"")</f>
        <v>#REF!</v>
      </c>
      <c r="AF51" s="57" t="e">
        <f>IF(AND('Mapa final'!#REF!="Muy Baja",'Mapa final'!#REF!="Mayor"),CONCATENATE("R6C",'Mapa final'!#REF!),"")</f>
        <v>#REF!</v>
      </c>
      <c r="AG51" s="53" t="e">
        <f>IF(AND('Mapa final'!#REF!="Muy Baja",'Mapa final'!#REF!="Mayor"),CONCATENATE("R6C",'Mapa final'!#REF!),"")</f>
        <v>#REF!</v>
      </c>
      <c r="AH51" s="54" t="e">
        <f>IF(AND('Mapa final'!#REF!="Muy Baja",'Mapa final'!#REF!="Catastrófico"),CONCATENATE("R6C",'Mapa final'!#REF!),"")</f>
        <v>#REF!</v>
      </c>
      <c r="AI51" s="55" t="e">
        <f>IF(AND('Mapa final'!#REF!="Muy Baja",'Mapa final'!#REF!="Catastrófico"),CONCATENATE("R6C",'Mapa final'!#REF!),"")</f>
        <v>#REF!</v>
      </c>
      <c r="AJ51" s="55" t="e">
        <f>IF(AND('Mapa final'!#REF!="Muy Baja",'Mapa final'!#REF!="Catastrófico"),CONCATENATE("R6C",'Mapa final'!#REF!),"")</f>
        <v>#REF!</v>
      </c>
      <c r="AK51" s="55" t="e">
        <f>IF(AND('Mapa final'!#REF!="Muy Baja",'Mapa final'!#REF!="Catastrófico"),CONCATENATE("R6C",'Mapa final'!#REF!),"")</f>
        <v>#REF!</v>
      </c>
      <c r="AL51" s="55" t="e">
        <f>IF(AND('Mapa final'!#REF!="Muy Baja",'Mapa final'!#REF!="Catastrófico"),CONCATENATE("R6C",'Mapa final'!#REF!),"")</f>
        <v>#REF!</v>
      </c>
      <c r="AM51" s="56" t="e">
        <f>IF(AND('Mapa final'!#REF!="Muy Baja",'Mapa final'!#REF!="Catastrófico"),CONCATENATE("R6C",'Mapa final'!#REF!),"")</f>
        <v>#REF!</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84"/>
      <c r="C52" s="284"/>
      <c r="D52" s="285"/>
      <c r="E52" s="385"/>
      <c r="F52" s="386"/>
      <c r="G52" s="386"/>
      <c r="H52" s="386"/>
      <c r="I52" s="401"/>
      <c r="J52" s="76" t="e">
        <f>IF(AND('Mapa final'!#REF!="Muy Baja",'Mapa final'!#REF!="Leve"),CONCATENATE("R7C",'Mapa final'!#REF!),"")</f>
        <v>#REF!</v>
      </c>
      <c r="K52" s="77" t="e">
        <f>IF(AND('Mapa final'!#REF!="Muy Baja",'Mapa final'!#REF!="Leve"),CONCATENATE("R7C",'Mapa final'!#REF!),"")</f>
        <v>#REF!</v>
      </c>
      <c r="L52" s="77" t="e">
        <f>IF(AND('Mapa final'!#REF!="Muy Baja",'Mapa final'!#REF!="Leve"),CONCATENATE("R7C",'Mapa final'!#REF!),"")</f>
        <v>#REF!</v>
      </c>
      <c r="M52" s="77" t="e">
        <f>IF(AND('Mapa final'!#REF!="Muy Baja",'Mapa final'!#REF!="Leve"),CONCATENATE("R7C",'Mapa final'!#REF!),"")</f>
        <v>#REF!</v>
      </c>
      <c r="N52" s="77" t="e">
        <f>IF(AND('Mapa final'!#REF!="Muy Baja",'Mapa final'!#REF!="Leve"),CONCATENATE("R7C",'Mapa final'!#REF!),"")</f>
        <v>#REF!</v>
      </c>
      <c r="O52" s="78" t="e">
        <f>IF(AND('Mapa final'!#REF!="Muy Baja",'Mapa final'!#REF!="Leve"),CONCATENATE("R7C",'Mapa final'!#REF!),"")</f>
        <v>#REF!</v>
      </c>
      <c r="P52" s="76" t="e">
        <f>IF(AND('Mapa final'!#REF!="Muy Baja",'Mapa final'!#REF!="Menor"),CONCATENATE("R7C",'Mapa final'!#REF!),"")</f>
        <v>#REF!</v>
      </c>
      <c r="Q52" s="77" t="e">
        <f>IF(AND('Mapa final'!#REF!="Muy Baja",'Mapa final'!#REF!="Menor"),CONCATENATE("R7C",'Mapa final'!#REF!),"")</f>
        <v>#REF!</v>
      </c>
      <c r="R52" s="77" t="e">
        <f>IF(AND('Mapa final'!#REF!="Muy Baja",'Mapa final'!#REF!="Menor"),CONCATENATE("R7C",'Mapa final'!#REF!),"")</f>
        <v>#REF!</v>
      </c>
      <c r="S52" s="77" t="e">
        <f>IF(AND('Mapa final'!#REF!="Muy Baja",'Mapa final'!#REF!="Menor"),CONCATENATE("R7C",'Mapa final'!#REF!),"")</f>
        <v>#REF!</v>
      </c>
      <c r="T52" s="77" t="e">
        <f>IF(AND('Mapa final'!#REF!="Muy Baja",'Mapa final'!#REF!="Menor"),CONCATENATE("R7C",'Mapa final'!#REF!),"")</f>
        <v>#REF!</v>
      </c>
      <c r="U52" s="78" t="e">
        <f>IF(AND('Mapa final'!#REF!="Muy Baja",'Mapa final'!#REF!="Menor"),CONCATENATE("R7C",'Mapa final'!#REF!),"")</f>
        <v>#REF!</v>
      </c>
      <c r="V52" s="67" t="e">
        <f>IF(AND('Mapa final'!#REF!="Muy Baja",'Mapa final'!#REF!="Moderado"),CONCATENATE("R7C",'Mapa final'!#REF!),"")</f>
        <v>#REF!</v>
      </c>
      <c r="W52" s="68" t="e">
        <f>IF(AND('Mapa final'!#REF!="Muy Baja",'Mapa final'!#REF!="Moderado"),CONCATENATE("R7C",'Mapa final'!#REF!),"")</f>
        <v>#REF!</v>
      </c>
      <c r="X52" s="68" t="e">
        <f>IF(AND('Mapa final'!#REF!="Muy Baja",'Mapa final'!#REF!="Moderado"),CONCATENATE("R7C",'Mapa final'!#REF!),"")</f>
        <v>#REF!</v>
      </c>
      <c r="Y52" s="68" t="e">
        <f>IF(AND('Mapa final'!#REF!="Muy Baja",'Mapa final'!#REF!="Moderado"),CONCATENATE("R7C",'Mapa final'!#REF!),"")</f>
        <v>#REF!</v>
      </c>
      <c r="Z52" s="68" t="e">
        <f>IF(AND('Mapa final'!#REF!="Muy Baja",'Mapa final'!#REF!="Moderado"),CONCATENATE("R7C",'Mapa final'!#REF!),"")</f>
        <v>#REF!</v>
      </c>
      <c r="AA52" s="69" t="e">
        <f>IF(AND('Mapa final'!#REF!="Muy Baja",'Mapa final'!#REF!="Moderado"),CONCATENATE("R7C",'Mapa final'!#REF!),"")</f>
        <v>#REF!</v>
      </c>
      <c r="AB52" s="51" t="e">
        <f>IF(AND('Mapa final'!#REF!="Muy Baja",'Mapa final'!#REF!="Mayor"),CONCATENATE("R7C",'Mapa final'!#REF!),"")</f>
        <v>#REF!</v>
      </c>
      <c r="AC52" s="52" t="e">
        <f>IF(AND('Mapa final'!#REF!="Muy Baja",'Mapa final'!#REF!="Mayor"),CONCATENATE("R7C",'Mapa final'!#REF!),"")</f>
        <v>#REF!</v>
      </c>
      <c r="AD52" s="57" t="e">
        <f>IF(AND('Mapa final'!#REF!="Muy Baja",'Mapa final'!#REF!="Mayor"),CONCATENATE("R7C",'Mapa final'!#REF!),"")</f>
        <v>#REF!</v>
      </c>
      <c r="AE52" s="57" t="e">
        <f>IF(AND('Mapa final'!#REF!="Muy Baja",'Mapa final'!#REF!="Mayor"),CONCATENATE("R7C",'Mapa final'!#REF!),"")</f>
        <v>#REF!</v>
      </c>
      <c r="AF52" s="57" t="e">
        <f>IF(AND('Mapa final'!#REF!="Muy Baja",'Mapa final'!#REF!="Mayor"),CONCATENATE("R7C",'Mapa final'!#REF!),"")</f>
        <v>#REF!</v>
      </c>
      <c r="AG52" s="53" t="e">
        <f>IF(AND('Mapa final'!#REF!="Muy Baja",'Mapa final'!#REF!="Mayor"),CONCATENATE("R7C",'Mapa final'!#REF!),"")</f>
        <v>#REF!</v>
      </c>
      <c r="AH52" s="54" t="e">
        <f>IF(AND('Mapa final'!#REF!="Muy Baja",'Mapa final'!#REF!="Catastrófico"),CONCATENATE("R7C",'Mapa final'!#REF!),"")</f>
        <v>#REF!</v>
      </c>
      <c r="AI52" s="55" t="e">
        <f>IF(AND('Mapa final'!#REF!="Muy Baja",'Mapa final'!#REF!="Catastrófico"),CONCATENATE("R7C",'Mapa final'!#REF!),"")</f>
        <v>#REF!</v>
      </c>
      <c r="AJ52" s="55" t="e">
        <f>IF(AND('Mapa final'!#REF!="Muy Baja",'Mapa final'!#REF!="Catastrófico"),CONCATENATE("R7C",'Mapa final'!#REF!),"")</f>
        <v>#REF!</v>
      </c>
      <c r="AK52" s="55" t="e">
        <f>IF(AND('Mapa final'!#REF!="Muy Baja",'Mapa final'!#REF!="Catastrófico"),CONCATENATE("R7C",'Mapa final'!#REF!),"")</f>
        <v>#REF!</v>
      </c>
      <c r="AL52" s="55" t="e">
        <f>IF(AND('Mapa final'!#REF!="Muy Baja",'Mapa final'!#REF!="Catastrófico"),CONCATENATE("R7C",'Mapa final'!#REF!),"")</f>
        <v>#REF!</v>
      </c>
      <c r="AM52" s="56" t="e">
        <f>IF(AND('Mapa final'!#REF!="Muy Baja",'Mapa final'!#REF!="Catastrófico"),CONCATENATE("R7C",'Mapa final'!#REF!),"")</f>
        <v>#REF!</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84"/>
      <c r="C53" s="284"/>
      <c r="D53" s="285"/>
      <c r="E53" s="385"/>
      <c r="F53" s="386"/>
      <c r="G53" s="386"/>
      <c r="H53" s="386"/>
      <c r="I53" s="401"/>
      <c r="J53" s="76" t="str">
        <f ca="1">IF(AND('Mapa final'!$AB$47="Muy Baja",'Mapa final'!$AD$47="Leve"),CONCATENATE("R8C",'Mapa final'!$R$47),"")</f>
        <v/>
      </c>
      <c r="K53" s="77" t="str">
        <f>IF(AND('Mapa final'!$AB$48="Muy Baja",'Mapa final'!$AD$48="Leve"),CONCATENATE("R8C",'Mapa final'!$R$48),"")</f>
        <v/>
      </c>
      <c r="L53" s="77" t="str">
        <f>IF(AND('Mapa final'!$AB$49="Muy Baja",'Mapa final'!$AD$49="Leve"),CONCATENATE("R8C",'Mapa final'!$R$49),"")</f>
        <v/>
      </c>
      <c r="M53" s="77" t="str">
        <f>IF(AND('Mapa final'!$AB$50="Muy Baja",'Mapa final'!$AD$50="Leve"),CONCATENATE("R8C",'Mapa final'!$R$50),"")</f>
        <v/>
      </c>
      <c r="N53" s="77" t="str">
        <f>IF(AND('Mapa final'!$AB$51="Muy Baja",'Mapa final'!$AD$51="Leve"),CONCATENATE("R8C",'Mapa final'!$R$51),"")</f>
        <v/>
      </c>
      <c r="O53" s="78" t="str">
        <f>IF(AND('Mapa final'!$AB$52="Muy Baja",'Mapa final'!$AD$52="Leve"),CONCATENATE("R8C",'Mapa final'!$R$52),"")</f>
        <v/>
      </c>
      <c r="P53" s="76" t="str">
        <f ca="1">IF(AND('Mapa final'!$AB$47="Muy Baja",'Mapa final'!$AD$47="Menor"),CONCATENATE("R8C",'Mapa final'!$R$47),"")</f>
        <v/>
      </c>
      <c r="Q53" s="77" t="str">
        <f>IF(AND('Mapa final'!$AB$48="Muy Baja",'Mapa final'!$AD$48="Menor"),CONCATENATE("R8C",'Mapa final'!$R$48),"")</f>
        <v/>
      </c>
      <c r="R53" s="77" t="str">
        <f>IF(AND('Mapa final'!$AB$49="Muy Baja",'Mapa final'!$AD$49="Menor"),CONCATENATE("R8C",'Mapa final'!$R$49),"")</f>
        <v/>
      </c>
      <c r="S53" s="77" t="str">
        <f>IF(AND('Mapa final'!$AB$50="Muy Baja",'Mapa final'!$AD$50="Menor"),CONCATENATE("R8C",'Mapa final'!$R$50),"")</f>
        <v/>
      </c>
      <c r="T53" s="77" t="str">
        <f>IF(AND('Mapa final'!$AB$51="Muy Baja",'Mapa final'!$AD$51="Menor"),CONCATENATE("R8C",'Mapa final'!$R$51),"")</f>
        <v/>
      </c>
      <c r="U53" s="78" t="str">
        <f>IF(AND('Mapa final'!$AB$52="Muy Baja",'Mapa final'!$AD$52="Menor"),CONCATENATE("R8C",'Mapa final'!$R$52),"")</f>
        <v/>
      </c>
      <c r="V53" s="67" t="str">
        <f ca="1">IF(AND('Mapa final'!$AB$47="Muy Baja",'Mapa final'!$AD$47="Moderado"),CONCATENATE("R8C",'Mapa final'!$R$47),"")</f>
        <v>R8C1</v>
      </c>
      <c r="W53" s="68" t="str">
        <f>IF(AND('Mapa final'!$AB$48="Muy Baja",'Mapa final'!$AD$48="Moderado"),CONCATENATE("R8C",'Mapa final'!$R$48),"")</f>
        <v/>
      </c>
      <c r="X53" s="68" t="str">
        <f>IF(AND('Mapa final'!$AB$49="Muy Baja",'Mapa final'!$AD$49="Moderado"),CONCATENATE("R8C",'Mapa final'!$R$49),"")</f>
        <v/>
      </c>
      <c r="Y53" s="68" t="str">
        <f>IF(AND('Mapa final'!$AB$50="Muy Baja",'Mapa final'!$AD$50="Moderado"),CONCATENATE("R8C",'Mapa final'!$R$50),"")</f>
        <v/>
      </c>
      <c r="Z53" s="68" t="str">
        <f>IF(AND('Mapa final'!$AB$51="Muy Baja",'Mapa final'!$AD$51="Moderado"),CONCATENATE("R8C",'Mapa final'!$R$51),"")</f>
        <v/>
      </c>
      <c r="AA53" s="69" t="str">
        <f>IF(AND('Mapa final'!$AB$52="Muy Baja",'Mapa final'!$AD$52="Moderado"),CONCATENATE("R8C",'Mapa final'!$R$52),"")</f>
        <v/>
      </c>
      <c r="AB53" s="51" t="str">
        <f ca="1">IF(AND('Mapa final'!$AB$47="Muy Baja",'Mapa final'!$AD$47="Mayor"),CONCATENATE("R8C",'Mapa final'!$R$47),"")</f>
        <v/>
      </c>
      <c r="AC53" s="52" t="str">
        <f>IF(AND('Mapa final'!$AB$48="Muy Baja",'Mapa final'!$AD$48="Mayor"),CONCATENATE("R8C",'Mapa final'!$R$48),"")</f>
        <v/>
      </c>
      <c r="AD53" s="57" t="str">
        <f>IF(AND('Mapa final'!$AB$49="Muy Baja",'Mapa final'!$AD$49="Mayor"),CONCATENATE("R8C",'Mapa final'!$R$49),"")</f>
        <v/>
      </c>
      <c r="AE53" s="57" t="str">
        <f>IF(AND('Mapa final'!$AB$50="Muy Baja",'Mapa final'!$AD$50="Mayor"),CONCATENATE("R8C",'Mapa final'!$R$50),"")</f>
        <v/>
      </c>
      <c r="AF53" s="57" t="str">
        <f>IF(AND('Mapa final'!$AB$51="Muy Baja",'Mapa final'!$AD$51="Mayor"),CONCATENATE("R8C",'Mapa final'!$R$51),"")</f>
        <v/>
      </c>
      <c r="AG53" s="53" t="str">
        <f>IF(AND('Mapa final'!$AB$52="Muy Baja",'Mapa final'!$AD$52="Mayor"),CONCATENATE("R8C",'Mapa final'!$R$52),"")</f>
        <v/>
      </c>
      <c r="AH53" s="54" t="str">
        <f ca="1">IF(AND('Mapa final'!$AB$47="Muy Baja",'Mapa final'!$AD$47="Catastrófico"),CONCATENATE("R8C",'Mapa final'!$R$47),"")</f>
        <v/>
      </c>
      <c r="AI53" s="55" t="str">
        <f>IF(AND('Mapa final'!$AB$48="Muy Baja",'Mapa final'!$AD$48="Catastrófico"),CONCATENATE("R8C",'Mapa final'!$R$48),"")</f>
        <v/>
      </c>
      <c r="AJ53" s="55" t="str">
        <f>IF(AND('Mapa final'!$AB$49="Muy Baja",'Mapa final'!$AD$49="Catastrófico"),CONCATENATE("R8C",'Mapa final'!$R$49),"")</f>
        <v/>
      </c>
      <c r="AK53" s="55" t="str">
        <f>IF(AND('Mapa final'!$AB$50="Muy Baja",'Mapa final'!$AD$50="Catastrófico"),CONCATENATE("R8C",'Mapa final'!$R$50),"")</f>
        <v/>
      </c>
      <c r="AL53" s="55" t="str">
        <f>IF(AND('Mapa final'!$AB$51="Muy Baja",'Mapa final'!$AD$51="Catastrófico"),CONCATENATE("R8C",'Mapa final'!$R$51),"")</f>
        <v/>
      </c>
      <c r="AM53" s="56" t="str">
        <f>IF(AND('Mapa final'!$AB$52="Muy Baja",'Mapa final'!$AD$52="Catastrófico"),CONCATENATE("R8C",'Mapa final'!$R$52),"")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84"/>
      <c r="C54" s="284"/>
      <c r="D54" s="285"/>
      <c r="E54" s="385"/>
      <c r="F54" s="386"/>
      <c r="G54" s="386"/>
      <c r="H54" s="386"/>
      <c r="I54" s="401"/>
      <c r="J54" s="76" t="str">
        <f ca="1">IF(AND('Mapa final'!$AB$59="Muy Baja",'Mapa final'!$AD$59="Leve"),CONCATENATE("R9C",'Mapa final'!$R$59),"")</f>
        <v/>
      </c>
      <c r="K54" s="77" t="str">
        <f ca="1">IF(AND('Mapa final'!$AB$60="Muy Baja",'Mapa final'!$AD$60="Leve"),CONCATENATE("R9C",'Mapa final'!$R$60),"")</f>
        <v/>
      </c>
      <c r="L54" s="77" t="str">
        <f>IF(AND('Mapa final'!$AB$61="Muy Baja",'Mapa final'!$AD$61="Leve"),CONCATENATE("R9C",'Mapa final'!$R$61),"")</f>
        <v/>
      </c>
      <c r="M54" s="77" t="str">
        <f>IF(AND('Mapa final'!$AB$62="Muy Baja",'Mapa final'!$AD$62="Leve"),CONCATENATE("R9C",'Mapa final'!$R$62),"")</f>
        <v/>
      </c>
      <c r="N54" s="77" t="str">
        <f>IF(AND('Mapa final'!$AB$63="Muy Baja",'Mapa final'!$AD$63="Leve"),CONCATENATE("R9C",'Mapa final'!$R$63),"")</f>
        <v/>
      </c>
      <c r="O54" s="78" t="str">
        <f>IF(AND('Mapa final'!$AB$70="Muy Baja",'Mapa final'!$AD$70="Leve"),CONCATENATE("R9C",'Mapa final'!$R$70),"")</f>
        <v/>
      </c>
      <c r="P54" s="76" t="str">
        <f ca="1">IF(AND('Mapa final'!$AB$59="Muy Baja",'Mapa final'!$AD$59="Menor"),CONCATENATE("R9C",'Mapa final'!$R$59),"")</f>
        <v/>
      </c>
      <c r="Q54" s="77" t="str">
        <f ca="1">IF(AND('Mapa final'!$AB$60="Muy Baja",'Mapa final'!$AD$60="Menor"),CONCATENATE("R9C",'Mapa final'!$R$60),"")</f>
        <v/>
      </c>
      <c r="R54" s="77" t="str">
        <f>IF(AND('Mapa final'!$AB$61="Muy Baja",'Mapa final'!$AD$61="Menor"),CONCATENATE("R9C",'Mapa final'!$R$61),"")</f>
        <v/>
      </c>
      <c r="S54" s="77" t="str">
        <f>IF(AND('Mapa final'!$AB$62="Muy Baja",'Mapa final'!$AD$62="Menor"),CONCATENATE("R9C",'Mapa final'!$R$62),"")</f>
        <v/>
      </c>
      <c r="T54" s="77" t="str">
        <f>IF(AND('Mapa final'!$AB$63="Muy Baja",'Mapa final'!$AD$63="Menor"),CONCATENATE("R9C",'Mapa final'!$R$63),"")</f>
        <v/>
      </c>
      <c r="U54" s="78" t="str">
        <f>IF(AND('Mapa final'!$AB$70="Muy Baja",'Mapa final'!$AD$70="Menor"),CONCATENATE("R9C",'Mapa final'!$R$70),"")</f>
        <v/>
      </c>
      <c r="V54" s="67" t="str">
        <f ca="1">IF(AND('Mapa final'!$AB$59="Muy Baja",'Mapa final'!$AD$59="Moderado"),CONCATENATE("R9C",'Mapa final'!$R$59),"")</f>
        <v/>
      </c>
      <c r="W54" s="68" t="str">
        <f ca="1">IF(AND('Mapa final'!$AB$60="Muy Baja",'Mapa final'!$AD$60="Moderado"),CONCATENATE("R9C",'Mapa final'!$R$60),"")</f>
        <v/>
      </c>
      <c r="X54" s="68" t="str">
        <f>IF(AND('Mapa final'!$AB$61="Muy Baja",'Mapa final'!$AD$61="Moderado"),CONCATENATE("R9C",'Mapa final'!$R$61),"")</f>
        <v/>
      </c>
      <c r="Y54" s="68" t="str">
        <f>IF(AND('Mapa final'!$AB$62="Muy Baja",'Mapa final'!$AD$62="Moderado"),CONCATENATE("R9C",'Mapa final'!$R$62),"")</f>
        <v/>
      </c>
      <c r="Z54" s="68" t="str">
        <f>IF(AND('Mapa final'!$AB$63="Muy Baja",'Mapa final'!$AD$63="Moderado"),CONCATENATE("R9C",'Mapa final'!$R$63),"")</f>
        <v/>
      </c>
      <c r="AA54" s="69" t="str">
        <f>IF(AND('Mapa final'!$AB$70="Muy Baja",'Mapa final'!$AD$70="Moderado"),CONCATENATE("R9C",'Mapa final'!$R$70),"")</f>
        <v/>
      </c>
      <c r="AB54" s="51" t="str">
        <f ca="1">IF(AND('Mapa final'!$AB$59="Muy Baja",'Mapa final'!$AD$59="Mayor"),CONCATENATE("R9C",'Mapa final'!$R$59),"")</f>
        <v/>
      </c>
      <c r="AC54" s="52" t="str">
        <f ca="1">IF(AND('Mapa final'!$AB$60="Muy Baja",'Mapa final'!$AD$60="Mayor"),CONCATENATE("R9C",'Mapa final'!$R$60),"")</f>
        <v/>
      </c>
      <c r="AD54" s="57" t="str">
        <f>IF(AND('Mapa final'!$AB$61="Muy Baja",'Mapa final'!$AD$61="Mayor"),CONCATENATE("R9C",'Mapa final'!$R$61),"")</f>
        <v/>
      </c>
      <c r="AE54" s="57" t="str">
        <f>IF(AND('Mapa final'!$AB$62="Muy Baja",'Mapa final'!$AD$62="Mayor"),CONCATENATE("R9C",'Mapa final'!$R$62),"")</f>
        <v/>
      </c>
      <c r="AF54" s="57" t="str">
        <f>IF(AND('Mapa final'!$AB$63="Muy Baja",'Mapa final'!$AD$63="Mayor"),CONCATENATE("R9C",'Mapa final'!$R$63),"")</f>
        <v/>
      </c>
      <c r="AG54" s="53" t="str">
        <f>IF(AND('Mapa final'!$AB$70="Muy Baja",'Mapa final'!$AD$70="Mayor"),CONCATENATE("R9C",'Mapa final'!$R$70),"")</f>
        <v/>
      </c>
      <c r="AH54" s="54" t="str">
        <f ca="1">IF(AND('Mapa final'!$AB$59="Muy Baja",'Mapa final'!$AD$59="Catastrófico"),CONCATENATE("R9C",'Mapa final'!$R$59),"")</f>
        <v/>
      </c>
      <c r="AI54" s="55" t="str">
        <f ca="1">IF(AND('Mapa final'!$AB$60="Muy Baja",'Mapa final'!$AD$60="Catastrófico"),CONCATENATE("R9C",'Mapa final'!$R$60),"")</f>
        <v/>
      </c>
      <c r="AJ54" s="55" t="str">
        <f>IF(AND('Mapa final'!$AB$61="Muy Baja",'Mapa final'!$AD$61="Catastrófico"),CONCATENATE("R9C",'Mapa final'!$R$61),"")</f>
        <v/>
      </c>
      <c r="AK54" s="55" t="str">
        <f>IF(AND('Mapa final'!$AB$62="Muy Baja",'Mapa final'!$AD$62="Catastrófico"),CONCATENATE("R9C",'Mapa final'!$R$62),"")</f>
        <v/>
      </c>
      <c r="AL54" s="55" t="str">
        <f>IF(AND('Mapa final'!$AB$63="Muy Baja",'Mapa final'!$AD$63="Catastrófico"),CONCATENATE("R9C",'Mapa final'!$R$63),"")</f>
        <v/>
      </c>
      <c r="AM54" s="56" t="str">
        <f>IF(AND('Mapa final'!$AB$70="Muy Baja",'Mapa final'!$AD$70="Catastrófico"),CONCATENATE("R9C",'Mapa final'!$R$70),"")</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84"/>
      <c r="C55" s="284"/>
      <c r="D55" s="285"/>
      <c r="E55" s="387"/>
      <c r="F55" s="388"/>
      <c r="G55" s="388"/>
      <c r="H55" s="388"/>
      <c r="I55" s="402"/>
      <c r="J55" s="79" t="str">
        <f ca="1">IF(AND('Mapa final'!$AB$71="Muy Baja",'Mapa final'!$AD$71="Leve"),CONCATENATE("R10C",'Mapa final'!$R$71),"")</f>
        <v/>
      </c>
      <c r="K55" s="80" t="str">
        <f ca="1">IF(AND('Mapa final'!$AB$72="Muy Baja",'Mapa final'!$AD$72="Leve"),CONCATENATE("R10C",'Mapa final'!$R$72),"")</f>
        <v/>
      </c>
      <c r="L55" s="80" t="str">
        <f ca="1">IF(AND('Mapa final'!$AB$73="Muy Baja",'Mapa final'!$AD$73="Leve"),CONCATENATE("R10C",'Mapa final'!$R$73),"")</f>
        <v/>
      </c>
      <c r="M55" s="80" t="str">
        <f>IF(AND('Mapa final'!$AB$74="Muy Baja",'Mapa final'!$AD$74="Leve"),CONCATENATE("R10C",'Mapa final'!$R$74),"")</f>
        <v/>
      </c>
      <c r="N55" s="80" t="str">
        <f>IF(AND('Mapa final'!$AB$75="Muy Baja",'Mapa final'!$AD$75="Leve"),CONCATENATE("R10C",'Mapa final'!$R$75),"")</f>
        <v/>
      </c>
      <c r="O55" s="81" t="str">
        <f>IF(AND('Mapa final'!$AB$76="Muy Baja",'Mapa final'!$AD$76="Leve"),CONCATENATE("R10C",'Mapa final'!$R$76),"")</f>
        <v/>
      </c>
      <c r="P55" s="79" t="str">
        <f ca="1">IF(AND('Mapa final'!$AB$71="Muy Baja",'Mapa final'!$AD$71="Menor"),CONCATENATE("R10C",'Mapa final'!$R$71),"")</f>
        <v/>
      </c>
      <c r="Q55" s="80" t="str">
        <f ca="1">IF(AND('Mapa final'!$AB$72="Muy Baja",'Mapa final'!$AD$72="Menor"),CONCATENATE("R10C",'Mapa final'!$R$72),"")</f>
        <v/>
      </c>
      <c r="R55" s="80" t="str">
        <f ca="1">IF(AND('Mapa final'!$AB$73="Muy Baja",'Mapa final'!$AD$73="Menor"),CONCATENATE("R10C",'Mapa final'!$R$73),"")</f>
        <v>R10C3</v>
      </c>
      <c r="S55" s="80" t="str">
        <f>IF(AND('Mapa final'!$AB$74="Muy Baja",'Mapa final'!$AD$74="Menor"),CONCATENATE("R10C",'Mapa final'!$R$74),"")</f>
        <v/>
      </c>
      <c r="T55" s="80" t="str">
        <f>IF(AND('Mapa final'!$AB$75="Muy Baja",'Mapa final'!$AD$75="Menor"),CONCATENATE("R10C",'Mapa final'!$R$75),"")</f>
        <v/>
      </c>
      <c r="U55" s="81" t="str">
        <f>IF(AND('Mapa final'!$AB$76="Muy Baja",'Mapa final'!$AD$76="Menor"),CONCATENATE("R10C",'Mapa final'!$R$76),"")</f>
        <v/>
      </c>
      <c r="V55" s="70" t="str">
        <f ca="1">IF(AND('Mapa final'!$AB$71="Muy Baja",'Mapa final'!$AD$71="Moderado"),CONCATENATE("R10C",'Mapa final'!$R$71),"")</f>
        <v/>
      </c>
      <c r="W55" s="71" t="str">
        <f ca="1">IF(AND('Mapa final'!$AB$72="Muy Baja",'Mapa final'!$AD$72="Moderado"),CONCATENATE("R10C",'Mapa final'!$R$72),"")</f>
        <v/>
      </c>
      <c r="X55" s="71" t="str">
        <f ca="1">IF(AND('Mapa final'!$AB$73="Muy Baja",'Mapa final'!$AD$73="Moderado"),CONCATENATE("R10C",'Mapa final'!$R$73),"")</f>
        <v/>
      </c>
      <c r="Y55" s="71" t="str">
        <f>IF(AND('Mapa final'!$AB$74="Muy Baja",'Mapa final'!$AD$74="Moderado"),CONCATENATE("R10C",'Mapa final'!$R$74),"")</f>
        <v/>
      </c>
      <c r="Z55" s="71" t="str">
        <f>IF(AND('Mapa final'!$AB$75="Muy Baja",'Mapa final'!$AD$75="Moderado"),CONCATENATE("R10C",'Mapa final'!$R$75),"")</f>
        <v/>
      </c>
      <c r="AA55" s="72" t="str">
        <f>IF(AND('Mapa final'!$AB$76="Muy Baja",'Mapa final'!$AD$76="Moderado"),CONCATENATE("R10C",'Mapa final'!$R$76),"")</f>
        <v/>
      </c>
      <c r="AB55" s="58" t="str">
        <f ca="1">IF(AND('Mapa final'!$AB$71="Muy Baja",'Mapa final'!$AD$71="Mayor"),CONCATENATE("R10C",'Mapa final'!$R$71),"")</f>
        <v/>
      </c>
      <c r="AC55" s="59" t="str">
        <f ca="1">IF(AND('Mapa final'!$AB$72="Muy Baja",'Mapa final'!$AD$72="Mayor"),CONCATENATE("R10C",'Mapa final'!$R$72),"")</f>
        <v/>
      </c>
      <c r="AD55" s="59" t="str">
        <f ca="1">IF(AND('Mapa final'!$AB$73="Muy Baja",'Mapa final'!$AD$73="Mayor"),CONCATENATE("R10C",'Mapa final'!$R$73),"")</f>
        <v/>
      </c>
      <c r="AE55" s="59" t="str">
        <f>IF(AND('Mapa final'!$AB$74="Muy Baja",'Mapa final'!$AD$74="Mayor"),CONCATENATE("R10C",'Mapa final'!$R$74),"")</f>
        <v/>
      </c>
      <c r="AF55" s="59" t="str">
        <f>IF(AND('Mapa final'!$AB$75="Muy Baja",'Mapa final'!$AD$75="Mayor"),CONCATENATE("R10C",'Mapa final'!$R$75),"")</f>
        <v/>
      </c>
      <c r="AG55" s="60" t="str">
        <f>IF(AND('Mapa final'!$AB$76="Muy Baja",'Mapa final'!$AD$76="Mayor"),CONCATENATE("R10C",'Mapa final'!$R$76),"")</f>
        <v/>
      </c>
      <c r="AH55" s="61" t="str">
        <f ca="1">IF(AND('Mapa final'!$AB$71="Muy Baja",'Mapa final'!$AD$71="Catastrófico"),CONCATENATE("R10C",'Mapa final'!$R$71),"")</f>
        <v/>
      </c>
      <c r="AI55" s="62" t="str">
        <f ca="1">IF(AND('Mapa final'!$AB$72="Muy Baja",'Mapa final'!$AD$72="Catastrófico"),CONCATENATE("R10C",'Mapa final'!$R$72),"")</f>
        <v/>
      </c>
      <c r="AJ55" s="62" t="str">
        <f ca="1">IF(AND('Mapa final'!$AB$73="Muy Baja",'Mapa final'!$AD$73="Catastrófico"),CONCATENATE("R10C",'Mapa final'!$R$73),"")</f>
        <v/>
      </c>
      <c r="AK55" s="62" t="str">
        <f>IF(AND('Mapa final'!$AB$74="Muy Baja",'Mapa final'!$AD$74="Catastrófico"),CONCATENATE("R10C",'Mapa final'!$R$74),"")</f>
        <v/>
      </c>
      <c r="AL55" s="62" t="str">
        <f>IF(AND('Mapa final'!$AB$75="Muy Baja",'Mapa final'!$AD$75="Catastrófico"),CONCATENATE("R10C",'Mapa final'!$R$75),"")</f>
        <v/>
      </c>
      <c r="AM55" s="63" t="str">
        <f>IF(AND('Mapa final'!$AB$76="Muy Baja",'Mapa final'!$AD$76="Catastrófico"),CONCATENATE("R10C",'Mapa final'!$R$76),"")</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81" t="s">
        <v>104</v>
      </c>
      <c r="K56" s="382"/>
      <c r="L56" s="382"/>
      <c r="M56" s="382"/>
      <c r="N56" s="382"/>
      <c r="O56" s="400"/>
      <c r="P56" s="381" t="s">
        <v>103</v>
      </c>
      <c r="Q56" s="382"/>
      <c r="R56" s="382"/>
      <c r="S56" s="382"/>
      <c r="T56" s="382"/>
      <c r="U56" s="400"/>
      <c r="V56" s="381" t="s">
        <v>102</v>
      </c>
      <c r="W56" s="382"/>
      <c r="X56" s="382"/>
      <c r="Y56" s="382"/>
      <c r="Z56" s="382"/>
      <c r="AA56" s="400"/>
      <c r="AB56" s="381" t="s">
        <v>101</v>
      </c>
      <c r="AC56" s="421"/>
      <c r="AD56" s="382"/>
      <c r="AE56" s="382"/>
      <c r="AF56" s="382"/>
      <c r="AG56" s="400"/>
      <c r="AH56" s="381" t="s">
        <v>100</v>
      </c>
      <c r="AI56" s="382"/>
      <c r="AJ56" s="382"/>
      <c r="AK56" s="382"/>
      <c r="AL56" s="382"/>
      <c r="AM56" s="40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85"/>
      <c r="K57" s="386"/>
      <c r="L57" s="386"/>
      <c r="M57" s="386"/>
      <c r="N57" s="386"/>
      <c r="O57" s="401"/>
      <c r="P57" s="385"/>
      <c r="Q57" s="386"/>
      <c r="R57" s="386"/>
      <c r="S57" s="386"/>
      <c r="T57" s="386"/>
      <c r="U57" s="401"/>
      <c r="V57" s="385"/>
      <c r="W57" s="386"/>
      <c r="X57" s="386"/>
      <c r="Y57" s="386"/>
      <c r="Z57" s="386"/>
      <c r="AA57" s="401"/>
      <c r="AB57" s="385"/>
      <c r="AC57" s="386"/>
      <c r="AD57" s="386"/>
      <c r="AE57" s="386"/>
      <c r="AF57" s="386"/>
      <c r="AG57" s="401"/>
      <c r="AH57" s="385"/>
      <c r="AI57" s="386"/>
      <c r="AJ57" s="386"/>
      <c r="AK57" s="386"/>
      <c r="AL57" s="386"/>
      <c r="AM57" s="40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85"/>
      <c r="K58" s="386"/>
      <c r="L58" s="386"/>
      <c r="M58" s="386"/>
      <c r="N58" s="386"/>
      <c r="O58" s="401"/>
      <c r="P58" s="385"/>
      <c r="Q58" s="386"/>
      <c r="R58" s="386"/>
      <c r="S58" s="386"/>
      <c r="T58" s="386"/>
      <c r="U58" s="401"/>
      <c r="V58" s="385"/>
      <c r="W58" s="386"/>
      <c r="X58" s="386"/>
      <c r="Y58" s="386"/>
      <c r="Z58" s="386"/>
      <c r="AA58" s="401"/>
      <c r="AB58" s="385"/>
      <c r="AC58" s="386"/>
      <c r="AD58" s="386"/>
      <c r="AE58" s="386"/>
      <c r="AF58" s="386"/>
      <c r="AG58" s="401"/>
      <c r="AH58" s="385"/>
      <c r="AI58" s="386"/>
      <c r="AJ58" s="386"/>
      <c r="AK58" s="386"/>
      <c r="AL58" s="386"/>
      <c r="AM58" s="40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85"/>
      <c r="K59" s="386"/>
      <c r="L59" s="386"/>
      <c r="M59" s="386"/>
      <c r="N59" s="386"/>
      <c r="O59" s="401"/>
      <c r="P59" s="385"/>
      <c r="Q59" s="386"/>
      <c r="R59" s="386"/>
      <c r="S59" s="386"/>
      <c r="T59" s="386"/>
      <c r="U59" s="401"/>
      <c r="V59" s="385"/>
      <c r="W59" s="386"/>
      <c r="X59" s="386"/>
      <c r="Y59" s="386"/>
      <c r="Z59" s="386"/>
      <c r="AA59" s="401"/>
      <c r="AB59" s="385"/>
      <c r="AC59" s="386"/>
      <c r="AD59" s="386"/>
      <c r="AE59" s="386"/>
      <c r="AF59" s="386"/>
      <c r="AG59" s="401"/>
      <c r="AH59" s="385"/>
      <c r="AI59" s="386"/>
      <c r="AJ59" s="386"/>
      <c r="AK59" s="386"/>
      <c r="AL59" s="386"/>
      <c r="AM59" s="401"/>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85"/>
      <c r="K60" s="386"/>
      <c r="L60" s="386"/>
      <c r="M60" s="386"/>
      <c r="N60" s="386"/>
      <c r="O60" s="401"/>
      <c r="P60" s="385"/>
      <c r="Q60" s="386"/>
      <c r="R60" s="386"/>
      <c r="S60" s="386"/>
      <c r="T60" s="386"/>
      <c r="U60" s="401"/>
      <c r="V60" s="385"/>
      <c r="W60" s="386"/>
      <c r="X60" s="386"/>
      <c r="Y60" s="386"/>
      <c r="Z60" s="386"/>
      <c r="AA60" s="401"/>
      <c r="AB60" s="385"/>
      <c r="AC60" s="386"/>
      <c r="AD60" s="386"/>
      <c r="AE60" s="386"/>
      <c r="AF60" s="386"/>
      <c r="AG60" s="401"/>
      <c r="AH60" s="385"/>
      <c r="AI60" s="386"/>
      <c r="AJ60" s="386"/>
      <c r="AK60" s="386"/>
      <c r="AL60" s="386"/>
      <c r="AM60" s="401"/>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87"/>
      <c r="K61" s="388"/>
      <c r="L61" s="388"/>
      <c r="M61" s="388"/>
      <c r="N61" s="388"/>
      <c r="O61" s="402"/>
      <c r="P61" s="387"/>
      <c r="Q61" s="388"/>
      <c r="R61" s="388"/>
      <c r="S61" s="388"/>
      <c r="T61" s="388"/>
      <c r="U61" s="402"/>
      <c r="V61" s="387"/>
      <c r="W61" s="388"/>
      <c r="X61" s="388"/>
      <c r="Y61" s="388"/>
      <c r="Z61" s="388"/>
      <c r="AA61" s="402"/>
      <c r="AB61" s="387"/>
      <c r="AC61" s="388"/>
      <c r="AD61" s="388"/>
      <c r="AE61" s="388"/>
      <c r="AF61" s="388"/>
      <c r="AG61" s="402"/>
      <c r="AH61" s="387"/>
      <c r="AI61" s="388"/>
      <c r="AJ61" s="388"/>
      <c r="AK61" s="388"/>
      <c r="AL61" s="388"/>
      <c r="AM61" s="40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B8" sqref="B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22" t="s">
        <v>53</v>
      </c>
      <c r="C1" s="422"/>
      <c r="D1" s="422"/>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0"/>
      <c r="C3" s="11" t="s">
        <v>50</v>
      </c>
      <c r="D3" s="11" t="s">
        <v>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2" t="s">
        <v>49</v>
      </c>
      <c r="C4" s="13" t="s">
        <v>205</v>
      </c>
      <c r="D4" s="14">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5" t="s">
        <v>51</v>
      </c>
      <c r="C5" s="16" t="s">
        <v>206</v>
      </c>
      <c r="D5" s="17">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8" t="s">
        <v>99</v>
      </c>
      <c r="C6" s="16" t="s">
        <v>207</v>
      </c>
      <c r="D6" s="17">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19" t="s">
        <v>5</v>
      </c>
      <c r="C7" s="16" t="s">
        <v>208</v>
      </c>
      <c r="D7" s="17">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0" t="s">
        <v>52</v>
      </c>
      <c r="C8" s="16" t="s">
        <v>209</v>
      </c>
      <c r="D8" s="17">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8"/>
  <sheetViews>
    <sheetView zoomScale="60" zoomScaleNormal="60" workbookViewId="0">
      <selection activeCell="A210" sqref="A210"/>
    </sheetView>
  </sheetViews>
  <sheetFormatPr baseColWidth="10" defaultRowHeight="15" x14ac:dyDescent="0.25"/>
  <cols>
    <col min="2" max="2" width="40.42578125" customWidth="1"/>
    <col min="3" max="3" width="74.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3"/>
      <c r="B1" s="423" t="s">
        <v>61</v>
      </c>
      <c r="C1" s="423"/>
      <c r="D1" s="423"/>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4"/>
      <c r="C3" s="35" t="s">
        <v>54</v>
      </c>
      <c r="D3" s="35" t="s">
        <v>55</v>
      </c>
      <c r="E3" s="83"/>
      <c r="F3" s="83"/>
      <c r="G3" s="83"/>
      <c r="H3" s="83"/>
      <c r="I3" s="83"/>
      <c r="J3" s="83"/>
      <c r="K3" s="83"/>
      <c r="L3" s="83"/>
      <c r="M3" s="83"/>
      <c r="N3" s="83"/>
      <c r="O3" s="83"/>
      <c r="P3" s="83"/>
      <c r="Q3" s="83"/>
      <c r="R3" s="83"/>
      <c r="S3" s="83"/>
      <c r="T3" s="83"/>
      <c r="U3" s="83"/>
    </row>
    <row r="4" spans="1:21" ht="33.75" x14ac:dyDescent="0.25">
      <c r="A4" s="103" t="s">
        <v>80</v>
      </c>
      <c r="B4" s="38" t="s">
        <v>98</v>
      </c>
      <c r="C4" s="43" t="s">
        <v>140</v>
      </c>
      <c r="D4" s="36" t="s">
        <v>94</v>
      </c>
      <c r="E4" s="83"/>
      <c r="F4" s="83"/>
      <c r="G4" s="83"/>
      <c r="H4" s="83"/>
      <c r="I4" s="83"/>
      <c r="J4" s="83"/>
      <c r="K4" s="83"/>
      <c r="L4" s="83"/>
      <c r="M4" s="83"/>
      <c r="N4" s="83"/>
      <c r="O4" s="83"/>
      <c r="P4" s="83"/>
      <c r="Q4" s="83"/>
      <c r="R4" s="83"/>
      <c r="S4" s="83"/>
      <c r="T4" s="83"/>
      <c r="U4" s="83"/>
    </row>
    <row r="5" spans="1:21" ht="101.25" x14ac:dyDescent="0.25">
      <c r="A5" s="103" t="s">
        <v>81</v>
      </c>
      <c r="B5" s="39" t="s">
        <v>57</v>
      </c>
      <c r="C5" s="44" t="s">
        <v>90</v>
      </c>
      <c r="D5" s="37" t="s">
        <v>95</v>
      </c>
      <c r="E5" s="83"/>
      <c r="F5" s="83"/>
      <c r="G5" s="83"/>
      <c r="H5" s="83"/>
      <c r="I5" s="83"/>
      <c r="J5" s="83"/>
      <c r="K5" s="83"/>
      <c r="L5" s="83"/>
      <c r="M5" s="83"/>
      <c r="N5" s="83"/>
      <c r="O5" s="83"/>
      <c r="P5" s="83"/>
      <c r="Q5" s="83"/>
      <c r="R5" s="83"/>
      <c r="S5" s="83"/>
      <c r="T5" s="83"/>
      <c r="U5" s="83"/>
    </row>
    <row r="6" spans="1:21" ht="67.5" x14ac:dyDescent="0.25">
      <c r="A6" s="103" t="s">
        <v>78</v>
      </c>
      <c r="B6" s="40" t="s">
        <v>58</v>
      </c>
      <c r="C6" s="44" t="s">
        <v>91</v>
      </c>
      <c r="D6" s="37" t="s">
        <v>97</v>
      </c>
      <c r="E6" s="83"/>
      <c r="F6" s="83"/>
      <c r="G6" s="83"/>
      <c r="H6" s="83"/>
      <c r="I6" s="83"/>
      <c r="J6" s="83"/>
      <c r="K6" s="83"/>
      <c r="L6" s="83"/>
      <c r="M6" s="83"/>
      <c r="N6" s="83"/>
      <c r="O6" s="83"/>
      <c r="P6" s="83"/>
      <c r="Q6" s="83"/>
      <c r="R6" s="83"/>
      <c r="S6" s="83"/>
      <c r="T6" s="83"/>
      <c r="U6" s="83"/>
    </row>
    <row r="7" spans="1:21" ht="101.25" x14ac:dyDescent="0.25">
      <c r="A7" s="103" t="s">
        <v>6</v>
      </c>
      <c r="B7" s="41" t="s">
        <v>59</v>
      </c>
      <c r="C7" s="44" t="s">
        <v>92</v>
      </c>
      <c r="D7" s="37" t="s">
        <v>96</v>
      </c>
      <c r="E7" s="83"/>
      <c r="F7" s="83"/>
      <c r="G7" s="83"/>
      <c r="H7" s="83"/>
      <c r="I7" s="83"/>
      <c r="J7" s="83"/>
      <c r="K7" s="83"/>
      <c r="L7" s="83"/>
      <c r="M7" s="83"/>
      <c r="N7" s="83"/>
      <c r="O7" s="83"/>
      <c r="P7" s="83"/>
      <c r="Q7" s="83"/>
      <c r="R7" s="83"/>
      <c r="S7" s="83"/>
      <c r="T7" s="83"/>
      <c r="U7" s="83"/>
    </row>
    <row r="8" spans="1:21" ht="67.5" x14ac:dyDescent="0.25">
      <c r="A8" s="103" t="s">
        <v>82</v>
      </c>
      <c r="B8" s="42" t="s">
        <v>60</v>
      </c>
      <c r="C8" s="44" t="s">
        <v>93</v>
      </c>
      <c r="D8" s="37" t="s">
        <v>110</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88</v>
      </c>
      <c r="C11" s="103" t="s">
        <v>128</v>
      </c>
      <c r="D11" s="103" t="s">
        <v>135</v>
      </c>
      <c r="E11" s="83"/>
      <c r="F11" s="83"/>
      <c r="G11" s="83"/>
      <c r="H11" s="83"/>
      <c r="I11" s="83"/>
      <c r="J11" s="83"/>
      <c r="K11" s="83"/>
      <c r="L11" s="83"/>
      <c r="M11" s="83"/>
      <c r="N11" s="83"/>
      <c r="O11" s="83"/>
      <c r="P11" s="83"/>
      <c r="Q11" s="83"/>
      <c r="R11" s="83"/>
      <c r="S11" s="83"/>
      <c r="T11" s="83"/>
      <c r="U11" s="83"/>
    </row>
    <row r="12" spans="1:21" x14ac:dyDescent="0.25">
      <c r="A12" s="103"/>
      <c r="B12" s="103" t="s">
        <v>86</v>
      </c>
      <c r="C12" s="103" t="s">
        <v>132</v>
      </c>
      <c r="D12" s="103" t="s">
        <v>136</v>
      </c>
      <c r="E12" s="83"/>
      <c r="F12" s="83"/>
      <c r="G12" s="83"/>
      <c r="H12" s="83"/>
      <c r="I12" s="83"/>
      <c r="J12" s="83"/>
      <c r="K12" s="83"/>
      <c r="L12" s="83"/>
      <c r="M12" s="83"/>
      <c r="N12" s="83"/>
      <c r="O12" s="83"/>
      <c r="P12" s="83"/>
      <c r="Q12" s="83"/>
      <c r="R12" s="83"/>
      <c r="S12" s="83"/>
      <c r="T12" s="83"/>
      <c r="U12" s="83"/>
    </row>
    <row r="13" spans="1:21" x14ac:dyDescent="0.25">
      <c r="A13" s="103"/>
      <c r="B13" s="103"/>
      <c r="C13" s="103" t="s">
        <v>131</v>
      </c>
      <c r="D13" s="103" t="s">
        <v>137</v>
      </c>
      <c r="E13" s="83"/>
      <c r="F13" s="83"/>
      <c r="G13" s="83"/>
      <c r="H13" s="83"/>
      <c r="I13" s="83"/>
      <c r="J13" s="83"/>
      <c r="K13" s="83"/>
      <c r="L13" s="83"/>
      <c r="M13" s="83"/>
      <c r="N13" s="83"/>
      <c r="O13" s="83"/>
      <c r="P13" s="83"/>
      <c r="Q13" s="83"/>
      <c r="R13" s="83"/>
      <c r="S13" s="83"/>
      <c r="T13" s="83"/>
      <c r="U13" s="83"/>
    </row>
    <row r="14" spans="1:21" x14ac:dyDescent="0.25">
      <c r="A14" s="103"/>
      <c r="B14" s="103"/>
      <c r="C14" s="103" t="s">
        <v>133</v>
      </c>
      <c r="D14" s="103" t="s">
        <v>138</v>
      </c>
      <c r="E14" s="83"/>
      <c r="F14" s="83"/>
      <c r="G14" s="83"/>
      <c r="H14" s="83"/>
      <c r="I14" s="83"/>
      <c r="J14" s="83"/>
      <c r="K14" s="83"/>
      <c r="L14" s="83"/>
      <c r="M14" s="83"/>
      <c r="N14" s="83"/>
      <c r="O14" s="83"/>
      <c r="P14" s="83"/>
      <c r="Q14" s="83"/>
      <c r="R14" s="83"/>
      <c r="S14" s="83"/>
      <c r="T14" s="83"/>
      <c r="U14" s="83"/>
    </row>
    <row r="15" spans="1:21" x14ac:dyDescent="0.25">
      <c r="A15" s="103"/>
      <c r="B15" s="103"/>
      <c r="C15" s="103" t="s">
        <v>134</v>
      </c>
      <c r="D15" s="103" t="s">
        <v>139</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2"/>
      <c r="C52" s="33"/>
      <c r="D52" s="33"/>
    </row>
    <row r="53" spans="1:15" ht="20.25" x14ac:dyDescent="0.25">
      <c r="A53" s="103"/>
      <c r="B53" s="22"/>
      <c r="C53" s="33"/>
      <c r="D53" s="33"/>
    </row>
    <row r="54" spans="1:15" ht="20.25" x14ac:dyDescent="0.25">
      <c r="A54" s="103"/>
      <c r="B54" s="22"/>
      <c r="C54" s="33"/>
      <c r="D54" s="33"/>
    </row>
    <row r="55" spans="1:15" ht="20.25" x14ac:dyDescent="0.25">
      <c r="A55" s="103"/>
      <c r="B55" s="22"/>
      <c r="C55" s="33"/>
      <c r="D55" s="33"/>
    </row>
    <row r="56" spans="1:15" ht="20.25" x14ac:dyDescent="0.25">
      <c r="A56" s="103"/>
      <c r="B56" s="22"/>
      <c r="C56" s="33"/>
      <c r="D56" s="33"/>
    </row>
    <row r="57" spans="1:15" ht="20.25" x14ac:dyDescent="0.25">
      <c r="A57" s="103"/>
      <c r="B57" s="22"/>
      <c r="C57" s="33"/>
      <c r="D57" s="33"/>
    </row>
    <row r="58" spans="1:15" ht="20.25" x14ac:dyDescent="0.25">
      <c r="A58" s="103"/>
      <c r="B58" s="22"/>
      <c r="C58" s="33"/>
      <c r="D58" s="33"/>
    </row>
    <row r="59" spans="1:15" ht="20.25" x14ac:dyDescent="0.25">
      <c r="A59" s="103"/>
      <c r="B59" s="22"/>
      <c r="C59" s="33"/>
      <c r="D59" s="33"/>
    </row>
    <row r="60" spans="1:15" ht="20.25" x14ac:dyDescent="0.25">
      <c r="A60" s="103"/>
      <c r="B60" s="22"/>
      <c r="C60" s="33"/>
      <c r="D60" s="33"/>
    </row>
    <row r="61" spans="1:15" ht="20.25" x14ac:dyDescent="0.25">
      <c r="A61" s="103"/>
      <c r="B61" s="22"/>
      <c r="C61" s="33"/>
      <c r="D61" s="33"/>
    </row>
    <row r="62" spans="1:15" ht="20.25" x14ac:dyDescent="0.25">
      <c r="A62" s="103"/>
      <c r="B62" s="22"/>
      <c r="C62" s="33"/>
      <c r="D62" s="33"/>
    </row>
    <row r="63" spans="1:15" ht="20.25" x14ac:dyDescent="0.25">
      <c r="A63" s="103"/>
      <c r="B63" s="22"/>
      <c r="C63" s="33"/>
      <c r="D63" s="33"/>
    </row>
    <row r="64" spans="1:15" ht="20.25" x14ac:dyDescent="0.25">
      <c r="A64" s="103"/>
      <c r="B64" s="22"/>
      <c r="C64" s="33"/>
      <c r="D64" s="33"/>
    </row>
    <row r="65" spans="1:4" ht="20.25" x14ac:dyDescent="0.25">
      <c r="A65" s="103"/>
      <c r="B65" s="22"/>
      <c r="C65" s="33"/>
      <c r="D65" s="33"/>
    </row>
    <row r="66" spans="1:4" ht="20.25" x14ac:dyDescent="0.25">
      <c r="A66" s="103"/>
      <c r="B66" s="22"/>
      <c r="C66" s="33"/>
      <c r="D66" s="33"/>
    </row>
    <row r="67" spans="1:4" ht="20.25" x14ac:dyDescent="0.25">
      <c r="A67" s="103"/>
      <c r="B67" s="22"/>
      <c r="C67" s="33"/>
      <c r="D67" s="33"/>
    </row>
    <row r="68" spans="1:4" ht="20.25" x14ac:dyDescent="0.25">
      <c r="A68" s="103"/>
      <c r="B68" s="22"/>
      <c r="C68" s="33"/>
      <c r="D68" s="33"/>
    </row>
    <row r="69" spans="1:4" ht="20.25" x14ac:dyDescent="0.25">
      <c r="A69" s="103"/>
      <c r="B69" s="22"/>
      <c r="C69" s="33"/>
      <c r="D69" s="33"/>
    </row>
    <row r="70" spans="1:4" ht="20.25" x14ac:dyDescent="0.25">
      <c r="A70" s="103"/>
      <c r="B70" s="22"/>
      <c r="C70" s="33"/>
      <c r="D70" s="33"/>
    </row>
    <row r="71" spans="1:4" ht="20.25" x14ac:dyDescent="0.25">
      <c r="A71" s="103"/>
      <c r="B71" s="22"/>
      <c r="C71" s="33"/>
      <c r="D71" s="33"/>
    </row>
    <row r="72" spans="1:4" ht="20.25" x14ac:dyDescent="0.25">
      <c r="A72" s="103"/>
      <c r="B72" s="22"/>
      <c r="C72" s="33"/>
      <c r="D72" s="33"/>
    </row>
    <row r="73" spans="1:4" ht="20.25" x14ac:dyDescent="0.25">
      <c r="A73" s="103"/>
      <c r="B73" s="22"/>
      <c r="C73" s="33"/>
      <c r="D73" s="33"/>
    </row>
    <row r="74" spans="1:4" ht="20.25" x14ac:dyDescent="0.25">
      <c r="A74" s="103"/>
      <c r="B74" s="22"/>
      <c r="C74" s="33"/>
      <c r="D74" s="33"/>
    </row>
    <row r="75" spans="1:4" ht="20.25" x14ac:dyDescent="0.25">
      <c r="A75" s="103"/>
      <c r="B75" s="22"/>
      <c r="C75" s="33"/>
      <c r="D75" s="33"/>
    </row>
    <row r="76" spans="1:4" ht="20.25" x14ac:dyDescent="0.25">
      <c r="A76" s="103"/>
      <c r="B76" s="22"/>
      <c r="C76" s="33"/>
      <c r="D76" s="33"/>
    </row>
    <row r="77" spans="1:4" ht="20.25" x14ac:dyDescent="0.25">
      <c r="A77" s="103"/>
      <c r="B77" s="22"/>
      <c r="C77" s="33"/>
      <c r="D77" s="33"/>
    </row>
    <row r="78" spans="1:4" ht="20.25" x14ac:dyDescent="0.25">
      <c r="A78" s="103"/>
      <c r="B78" s="22"/>
      <c r="C78" s="33"/>
      <c r="D78" s="33"/>
    </row>
    <row r="79" spans="1:4" ht="20.25" x14ac:dyDescent="0.25">
      <c r="A79" s="103"/>
      <c r="B79" s="22"/>
      <c r="C79" s="33"/>
      <c r="D79" s="33"/>
    </row>
    <row r="80" spans="1:4" ht="20.25" x14ac:dyDescent="0.25">
      <c r="A80" s="103"/>
      <c r="B80" s="22"/>
      <c r="C80" s="33"/>
      <c r="D80" s="33"/>
    </row>
    <row r="81" spans="1:4" ht="20.25" x14ac:dyDescent="0.25">
      <c r="A81" s="103"/>
      <c r="B81" s="22"/>
      <c r="C81" s="33"/>
      <c r="D81" s="33"/>
    </row>
    <row r="82" spans="1:4" ht="20.25" x14ac:dyDescent="0.25">
      <c r="A82" s="103"/>
      <c r="B82" s="22"/>
      <c r="C82" s="33"/>
      <c r="D82" s="33"/>
    </row>
    <row r="83" spans="1:4" ht="20.25" x14ac:dyDescent="0.25">
      <c r="A83" s="103"/>
      <c r="B83" s="22"/>
      <c r="C83" s="33"/>
      <c r="D83" s="33"/>
    </row>
    <row r="84" spans="1:4" ht="20.25" x14ac:dyDescent="0.25">
      <c r="A84" s="103"/>
      <c r="B84" s="22"/>
      <c r="C84" s="33"/>
      <c r="D84" s="33"/>
    </row>
    <row r="85" spans="1:4" ht="20.25" x14ac:dyDescent="0.25">
      <c r="A85" s="103"/>
      <c r="B85" s="22"/>
      <c r="C85" s="33"/>
      <c r="D85" s="33"/>
    </row>
    <row r="86" spans="1:4" ht="20.25" x14ac:dyDescent="0.25">
      <c r="A86" s="103"/>
      <c r="B86" s="22"/>
      <c r="C86" s="33"/>
      <c r="D86" s="33"/>
    </row>
    <row r="87" spans="1:4" ht="20.25" x14ac:dyDescent="0.25">
      <c r="A87" s="103"/>
      <c r="B87" s="22"/>
      <c r="C87" s="33"/>
      <c r="D87" s="33"/>
    </row>
    <row r="88" spans="1:4" ht="20.25" x14ac:dyDescent="0.25">
      <c r="A88" s="103"/>
      <c r="B88" s="22"/>
      <c r="C88" s="33"/>
      <c r="D88" s="33"/>
    </row>
    <row r="89" spans="1:4" ht="20.25" x14ac:dyDescent="0.25">
      <c r="A89" s="103"/>
      <c r="B89" s="22"/>
      <c r="C89" s="33"/>
      <c r="D89" s="33"/>
    </row>
    <row r="90" spans="1:4" ht="20.25" x14ac:dyDescent="0.25">
      <c r="A90" s="103"/>
      <c r="B90" s="22"/>
      <c r="C90" s="33"/>
      <c r="D90" s="33"/>
    </row>
    <row r="91" spans="1:4" ht="20.25" x14ac:dyDescent="0.25">
      <c r="A91" s="103"/>
      <c r="B91" s="22"/>
      <c r="C91" s="33"/>
      <c r="D91" s="33"/>
    </row>
    <row r="92" spans="1:4" ht="20.25" x14ac:dyDescent="0.25">
      <c r="A92" s="103"/>
      <c r="B92" s="22"/>
      <c r="C92" s="33"/>
      <c r="D92" s="33"/>
    </row>
    <row r="93" spans="1:4" ht="20.25" x14ac:dyDescent="0.25">
      <c r="A93" s="103"/>
      <c r="B93" s="22"/>
      <c r="C93" s="33"/>
      <c r="D93" s="33"/>
    </row>
    <row r="94" spans="1:4" ht="20.25" x14ac:dyDescent="0.25">
      <c r="A94" s="103"/>
      <c r="B94" s="22"/>
      <c r="C94" s="33"/>
      <c r="D94" s="33"/>
    </row>
    <row r="95" spans="1:4" ht="20.25" x14ac:dyDescent="0.25">
      <c r="A95" s="103"/>
      <c r="B95" s="22"/>
      <c r="C95" s="33"/>
      <c r="D95" s="33"/>
    </row>
    <row r="96" spans="1:4" ht="20.25" x14ac:dyDescent="0.25">
      <c r="A96" s="103"/>
      <c r="B96" s="22"/>
      <c r="C96" s="33"/>
      <c r="D96" s="33"/>
    </row>
    <row r="97" spans="1:4" ht="20.25" x14ac:dyDescent="0.25">
      <c r="A97" s="103"/>
      <c r="B97" s="22"/>
      <c r="C97" s="33"/>
      <c r="D97" s="33"/>
    </row>
    <row r="98" spans="1:4" ht="20.25" x14ac:dyDescent="0.25">
      <c r="A98" s="103"/>
      <c r="B98" s="22"/>
      <c r="C98" s="33"/>
      <c r="D98" s="33"/>
    </row>
    <row r="99" spans="1:4" ht="20.25" x14ac:dyDescent="0.25">
      <c r="A99" s="103"/>
      <c r="B99" s="22"/>
      <c r="C99" s="33"/>
      <c r="D99" s="33"/>
    </row>
    <row r="100" spans="1:4" ht="20.25" x14ac:dyDescent="0.25">
      <c r="A100" s="103"/>
      <c r="B100" s="22"/>
      <c r="C100" s="33"/>
      <c r="D100" s="33"/>
    </row>
    <row r="101" spans="1:4" ht="20.25" x14ac:dyDescent="0.25">
      <c r="A101" s="103"/>
      <c r="B101" s="22"/>
      <c r="C101" s="33"/>
      <c r="D101" s="33"/>
    </row>
    <row r="102" spans="1:4" ht="20.25" x14ac:dyDescent="0.25">
      <c r="A102" s="103"/>
      <c r="B102" s="22"/>
      <c r="C102" s="33"/>
      <c r="D102" s="33"/>
    </row>
    <row r="103" spans="1:4" ht="20.25" x14ac:dyDescent="0.25">
      <c r="A103" s="103"/>
      <c r="B103" s="22"/>
      <c r="C103" s="33"/>
      <c r="D103" s="33"/>
    </row>
    <row r="104" spans="1:4" ht="20.25" x14ac:dyDescent="0.25">
      <c r="A104" s="103"/>
      <c r="B104" s="22"/>
      <c r="C104" s="33"/>
      <c r="D104" s="33"/>
    </row>
    <row r="105" spans="1:4" ht="20.25" x14ac:dyDescent="0.25">
      <c r="A105" s="103"/>
      <c r="B105" s="22"/>
      <c r="C105" s="33"/>
      <c r="D105" s="33"/>
    </row>
    <row r="106" spans="1:4" ht="20.25" x14ac:dyDescent="0.25">
      <c r="A106" s="103"/>
      <c r="B106" s="22"/>
      <c r="C106" s="33"/>
      <c r="D106" s="33"/>
    </row>
    <row r="107" spans="1:4" ht="20.25" x14ac:dyDescent="0.25">
      <c r="A107" s="103"/>
      <c r="B107" s="22"/>
      <c r="C107" s="33"/>
      <c r="D107" s="33"/>
    </row>
    <row r="108" spans="1:4" ht="20.25" x14ac:dyDescent="0.25">
      <c r="A108" s="103"/>
      <c r="B108" s="22"/>
      <c r="C108" s="33"/>
      <c r="D108" s="33"/>
    </row>
    <row r="109" spans="1:4" ht="20.25" x14ac:dyDescent="0.25">
      <c r="A109" s="103"/>
      <c r="B109" s="22"/>
      <c r="C109" s="33"/>
      <c r="D109" s="33"/>
    </row>
    <row r="110" spans="1:4" ht="20.25" x14ac:dyDescent="0.25">
      <c r="A110" s="103"/>
      <c r="B110" s="22"/>
      <c r="C110" s="33"/>
      <c r="D110" s="33"/>
    </row>
    <row r="111" spans="1:4" ht="20.25" x14ac:dyDescent="0.25">
      <c r="A111" s="103"/>
      <c r="B111" s="22"/>
      <c r="C111" s="33"/>
      <c r="D111" s="33"/>
    </row>
    <row r="112" spans="1:4" ht="20.25" x14ac:dyDescent="0.25">
      <c r="A112" s="103"/>
      <c r="B112" s="22"/>
      <c r="C112" s="33"/>
      <c r="D112" s="33"/>
    </row>
    <row r="113" spans="1:4" ht="20.25" x14ac:dyDescent="0.25">
      <c r="A113" s="103"/>
      <c r="B113" s="22"/>
      <c r="C113" s="33"/>
      <c r="D113" s="33"/>
    </row>
    <row r="114" spans="1:4" ht="20.25" x14ac:dyDescent="0.25">
      <c r="A114" s="103"/>
      <c r="B114" s="22"/>
      <c r="C114" s="33"/>
      <c r="D114" s="33"/>
    </row>
    <row r="115" spans="1:4" ht="20.25" x14ac:dyDescent="0.25">
      <c r="A115" s="103"/>
      <c r="B115" s="22"/>
      <c r="C115" s="33"/>
      <c r="D115" s="33"/>
    </row>
    <row r="116" spans="1:4" ht="20.25" x14ac:dyDescent="0.25">
      <c r="A116" s="103"/>
      <c r="B116" s="22"/>
      <c r="C116" s="33"/>
      <c r="D116" s="33"/>
    </row>
    <row r="117" spans="1:4" ht="20.25" x14ac:dyDescent="0.25">
      <c r="A117" s="103"/>
      <c r="B117" s="22"/>
      <c r="C117" s="33"/>
      <c r="D117" s="33"/>
    </row>
    <row r="118" spans="1:4" ht="20.25" x14ac:dyDescent="0.25">
      <c r="A118" s="103"/>
      <c r="B118" s="22"/>
      <c r="C118" s="33"/>
      <c r="D118" s="33"/>
    </row>
    <row r="119" spans="1:4" ht="20.25" x14ac:dyDescent="0.25">
      <c r="A119" s="103"/>
      <c r="B119" s="22"/>
      <c r="C119" s="33"/>
      <c r="D119" s="33"/>
    </row>
    <row r="120" spans="1:4" ht="20.25" x14ac:dyDescent="0.25">
      <c r="A120" s="103"/>
      <c r="B120" s="22"/>
      <c r="C120" s="33"/>
      <c r="D120" s="33"/>
    </row>
    <row r="121" spans="1:4" ht="20.25" x14ac:dyDescent="0.25">
      <c r="A121" s="103"/>
      <c r="B121" s="22"/>
      <c r="C121" s="33"/>
      <c r="D121" s="33"/>
    </row>
    <row r="122" spans="1:4" ht="20.25" x14ac:dyDescent="0.25">
      <c r="A122" s="103"/>
      <c r="B122" s="22"/>
      <c r="C122" s="33"/>
      <c r="D122" s="33"/>
    </row>
    <row r="123" spans="1:4" ht="20.25" x14ac:dyDescent="0.25">
      <c r="A123" s="103"/>
      <c r="B123" s="22"/>
      <c r="C123" s="33"/>
      <c r="D123" s="33"/>
    </row>
    <row r="124" spans="1:4" ht="20.25" x14ac:dyDescent="0.25">
      <c r="A124" s="103"/>
      <c r="B124" s="22"/>
      <c r="C124" s="33"/>
      <c r="D124" s="33"/>
    </row>
    <row r="125" spans="1:4" ht="20.25" x14ac:dyDescent="0.25">
      <c r="A125" s="103"/>
      <c r="B125" s="22"/>
      <c r="C125" s="33"/>
      <c r="D125" s="33"/>
    </row>
    <row r="126" spans="1:4" ht="20.25" x14ac:dyDescent="0.25">
      <c r="A126" s="103"/>
      <c r="B126" s="22"/>
      <c r="C126" s="33"/>
      <c r="D126" s="33"/>
    </row>
    <row r="127" spans="1:4" ht="20.25" x14ac:dyDescent="0.25">
      <c r="A127" s="103"/>
      <c r="B127" s="22"/>
      <c r="C127" s="33"/>
      <c r="D127" s="33"/>
    </row>
    <row r="128" spans="1:4" ht="20.25" x14ac:dyDescent="0.25">
      <c r="A128" s="103"/>
      <c r="B128" s="22"/>
      <c r="C128" s="33"/>
      <c r="D128" s="33"/>
    </row>
    <row r="129" spans="1:4" ht="20.25" x14ac:dyDescent="0.25">
      <c r="A129" s="103"/>
      <c r="B129" s="22"/>
      <c r="C129" s="33"/>
      <c r="D129" s="33"/>
    </row>
    <row r="130" spans="1:4" ht="20.25" x14ac:dyDescent="0.25">
      <c r="A130" s="103"/>
      <c r="B130" s="22"/>
      <c r="C130" s="33"/>
      <c r="D130" s="33"/>
    </row>
    <row r="131" spans="1:4" ht="20.25" x14ac:dyDescent="0.25">
      <c r="A131" s="103"/>
      <c r="B131" s="22"/>
      <c r="C131" s="33"/>
      <c r="D131" s="33"/>
    </row>
    <row r="132" spans="1:4" ht="20.25" x14ac:dyDescent="0.25">
      <c r="A132" s="103"/>
      <c r="B132" s="22"/>
      <c r="C132" s="33"/>
      <c r="D132" s="33"/>
    </row>
    <row r="133" spans="1:4" ht="20.25" x14ac:dyDescent="0.25">
      <c r="A133" s="103"/>
      <c r="B133" s="22"/>
      <c r="C133" s="33"/>
      <c r="D133" s="33"/>
    </row>
    <row r="134" spans="1:4" ht="20.25" x14ac:dyDescent="0.25">
      <c r="A134" s="103"/>
      <c r="B134" s="22"/>
      <c r="C134" s="33"/>
      <c r="D134" s="33"/>
    </row>
    <row r="135" spans="1:4" ht="20.25" x14ac:dyDescent="0.25">
      <c r="A135" s="103"/>
      <c r="B135" s="22"/>
      <c r="C135" s="33"/>
      <c r="D135" s="33"/>
    </row>
    <row r="136" spans="1:4" ht="20.25" x14ac:dyDescent="0.25">
      <c r="A136" s="103"/>
      <c r="B136" s="22"/>
      <c r="C136" s="33"/>
      <c r="D136" s="33"/>
    </row>
    <row r="137" spans="1:4" ht="20.25" x14ac:dyDescent="0.25">
      <c r="A137" s="103"/>
      <c r="B137" s="22"/>
      <c r="C137" s="33"/>
      <c r="D137" s="33"/>
    </row>
    <row r="138" spans="1:4" ht="20.25" x14ac:dyDescent="0.25">
      <c r="A138" s="103"/>
      <c r="B138" s="22"/>
      <c r="C138" s="33"/>
      <c r="D138" s="33"/>
    </row>
    <row r="139" spans="1:4" ht="20.25" x14ac:dyDescent="0.25">
      <c r="A139" s="103"/>
      <c r="B139" s="22"/>
      <c r="C139" s="33"/>
      <c r="D139" s="33"/>
    </row>
    <row r="140" spans="1:4" ht="20.25" x14ac:dyDescent="0.25">
      <c r="A140" s="103"/>
      <c r="B140" s="22"/>
      <c r="C140" s="33"/>
      <c r="D140" s="33"/>
    </row>
    <row r="141" spans="1:4" ht="20.25" x14ac:dyDescent="0.25">
      <c r="A141" s="103"/>
      <c r="B141" s="22"/>
      <c r="C141" s="33"/>
      <c r="D141" s="33"/>
    </row>
    <row r="142" spans="1:4" ht="20.25" x14ac:dyDescent="0.25">
      <c r="A142" s="103"/>
      <c r="B142" s="22"/>
      <c r="C142" s="33"/>
      <c r="D142" s="33"/>
    </row>
    <row r="143" spans="1:4" ht="20.25" x14ac:dyDescent="0.25">
      <c r="A143" s="103"/>
      <c r="B143" s="22"/>
      <c r="C143" s="33"/>
      <c r="D143" s="33"/>
    </row>
    <row r="144" spans="1:4" ht="20.25" x14ac:dyDescent="0.25">
      <c r="A144" s="103"/>
      <c r="B144" s="22"/>
      <c r="C144" s="33"/>
      <c r="D144" s="33"/>
    </row>
    <row r="145" spans="1:4" ht="20.25" x14ac:dyDescent="0.25">
      <c r="A145" s="103"/>
      <c r="B145" s="22"/>
      <c r="C145" s="33"/>
      <c r="D145" s="33"/>
    </row>
    <row r="146" spans="1:4" ht="20.25" x14ac:dyDescent="0.25">
      <c r="A146" s="103"/>
      <c r="B146" s="22"/>
      <c r="C146" s="33"/>
      <c r="D146" s="33"/>
    </row>
    <row r="147" spans="1:4" ht="20.25" x14ac:dyDescent="0.25">
      <c r="A147" s="103"/>
      <c r="B147" s="22"/>
      <c r="C147" s="33"/>
      <c r="D147" s="33"/>
    </row>
    <row r="148" spans="1:4" ht="20.25" x14ac:dyDescent="0.25">
      <c r="A148" s="103"/>
      <c r="B148" s="22"/>
      <c r="C148" s="33"/>
      <c r="D148" s="33"/>
    </row>
    <row r="149" spans="1:4" ht="20.25" x14ac:dyDescent="0.25">
      <c r="A149" s="103"/>
      <c r="B149" s="22"/>
      <c r="C149" s="33"/>
      <c r="D149" s="33"/>
    </row>
    <row r="150" spans="1:4" ht="20.25" x14ac:dyDescent="0.25">
      <c r="A150" s="103"/>
      <c r="B150" s="22"/>
      <c r="C150" s="33"/>
      <c r="D150" s="33"/>
    </row>
    <row r="151" spans="1:4" ht="20.25" x14ac:dyDescent="0.25">
      <c r="A151" s="103"/>
      <c r="B151" s="22"/>
      <c r="C151" s="33"/>
      <c r="D151" s="33"/>
    </row>
    <row r="152" spans="1:4" ht="20.25" x14ac:dyDescent="0.25">
      <c r="A152" s="103"/>
      <c r="B152" s="22"/>
      <c r="C152" s="33"/>
      <c r="D152" s="33"/>
    </row>
    <row r="153" spans="1:4" ht="20.25" x14ac:dyDescent="0.25">
      <c r="A153" s="103"/>
      <c r="B153" s="22"/>
      <c r="C153" s="33"/>
      <c r="D153" s="33"/>
    </row>
    <row r="154" spans="1:4" ht="20.25" x14ac:dyDescent="0.25">
      <c r="A154" s="103"/>
      <c r="B154" s="22"/>
      <c r="C154" s="33"/>
      <c r="D154" s="33"/>
    </row>
    <row r="155" spans="1:4" ht="20.25" x14ac:dyDescent="0.25">
      <c r="A155" s="103"/>
      <c r="B155" s="22"/>
      <c r="C155" s="33"/>
      <c r="D155" s="33"/>
    </row>
    <row r="156" spans="1:4" ht="20.25" x14ac:dyDescent="0.25">
      <c r="A156" s="103"/>
      <c r="B156" s="22"/>
      <c r="C156" s="33"/>
      <c r="D156" s="33"/>
    </row>
    <row r="157" spans="1:4" ht="20.25" x14ac:dyDescent="0.25">
      <c r="A157" s="103"/>
      <c r="B157" s="22"/>
      <c r="C157" s="33"/>
      <c r="D157" s="33"/>
    </row>
    <row r="158" spans="1:4" ht="20.25" x14ac:dyDescent="0.25">
      <c r="A158" s="103"/>
      <c r="B158" s="22"/>
      <c r="C158" s="33"/>
      <c r="D158" s="33"/>
    </row>
    <row r="159" spans="1:4" ht="20.25" x14ac:dyDescent="0.25">
      <c r="A159" s="103"/>
      <c r="B159" s="22"/>
      <c r="C159" s="33"/>
      <c r="D159" s="33"/>
    </row>
    <row r="160" spans="1:4" ht="20.25" x14ac:dyDescent="0.25">
      <c r="A160" s="103"/>
      <c r="B160" s="22"/>
      <c r="C160" s="33"/>
      <c r="D160" s="33"/>
    </row>
    <row r="161" spans="1:4" ht="20.25" x14ac:dyDescent="0.25">
      <c r="A161" s="103"/>
      <c r="B161" s="22"/>
      <c r="C161" s="33"/>
      <c r="D161" s="33"/>
    </row>
    <row r="162" spans="1:4" ht="20.25" x14ac:dyDescent="0.25">
      <c r="A162" s="103"/>
      <c r="B162" s="22"/>
      <c r="C162" s="33"/>
      <c r="D162" s="33"/>
    </row>
    <row r="163" spans="1:4" ht="20.25" x14ac:dyDescent="0.25">
      <c r="A163" s="103"/>
      <c r="B163" s="22"/>
      <c r="C163" s="33"/>
      <c r="D163" s="33"/>
    </row>
    <row r="164" spans="1:4" ht="20.25" x14ac:dyDescent="0.25">
      <c r="A164" s="103"/>
      <c r="B164" s="22"/>
      <c r="C164" s="33"/>
      <c r="D164" s="33"/>
    </row>
    <row r="165" spans="1:4" ht="20.25" x14ac:dyDescent="0.25">
      <c r="A165" s="103"/>
      <c r="B165" s="22"/>
      <c r="C165" s="33"/>
      <c r="D165" s="33"/>
    </row>
    <row r="166" spans="1:4" ht="20.25" x14ac:dyDescent="0.25">
      <c r="A166" s="103"/>
      <c r="B166" s="22"/>
      <c r="C166" s="33"/>
      <c r="D166" s="33"/>
    </row>
    <row r="167" spans="1:4" ht="20.25" x14ac:dyDescent="0.25">
      <c r="A167" s="103"/>
      <c r="B167" s="22"/>
      <c r="C167" s="33"/>
      <c r="D167" s="33"/>
    </row>
    <row r="168" spans="1:4" ht="20.25" x14ac:dyDescent="0.25">
      <c r="A168" s="103"/>
      <c r="B168" s="22"/>
      <c r="C168" s="33"/>
      <c r="D168" s="33"/>
    </row>
    <row r="169" spans="1:4" ht="20.25" x14ac:dyDescent="0.25">
      <c r="A169" s="103"/>
      <c r="B169" s="22"/>
      <c r="C169" s="33"/>
      <c r="D169" s="33"/>
    </row>
    <row r="170" spans="1:4" ht="20.25" x14ac:dyDescent="0.25">
      <c r="A170" s="103"/>
      <c r="B170" s="22"/>
      <c r="C170" s="33"/>
      <c r="D170" s="33"/>
    </row>
    <row r="171" spans="1:4" ht="20.25" x14ac:dyDescent="0.25">
      <c r="A171" s="103"/>
      <c r="B171" s="22"/>
      <c r="C171" s="33"/>
      <c r="D171" s="33"/>
    </row>
    <row r="172" spans="1:4" ht="20.25" x14ac:dyDescent="0.25">
      <c r="A172" s="103"/>
      <c r="B172" s="22"/>
      <c r="C172" s="33"/>
      <c r="D172" s="33"/>
    </row>
    <row r="173" spans="1:4" ht="20.25" x14ac:dyDescent="0.25">
      <c r="A173" s="103"/>
      <c r="B173" s="22"/>
      <c r="C173" s="33"/>
      <c r="D173" s="33"/>
    </row>
    <row r="174" spans="1:4" ht="20.25" x14ac:dyDescent="0.25">
      <c r="A174" s="103"/>
      <c r="B174" s="22"/>
      <c r="C174" s="33"/>
      <c r="D174" s="33"/>
    </row>
    <row r="175" spans="1:4" ht="20.25" x14ac:dyDescent="0.25">
      <c r="A175" s="103"/>
      <c r="B175" s="22"/>
      <c r="C175" s="33"/>
      <c r="D175" s="33"/>
    </row>
    <row r="176" spans="1:4" ht="20.25" x14ac:dyDescent="0.25">
      <c r="A176" s="103"/>
      <c r="B176" s="22"/>
      <c r="C176" s="33"/>
      <c r="D176" s="33"/>
    </row>
    <row r="177" spans="1:4" ht="20.25" x14ac:dyDescent="0.25">
      <c r="A177" s="103"/>
      <c r="B177" s="22"/>
      <c r="C177" s="33"/>
      <c r="D177" s="33"/>
    </row>
    <row r="178" spans="1:4" ht="20.25" x14ac:dyDescent="0.25">
      <c r="A178" s="103"/>
      <c r="B178" s="22"/>
      <c r="C178" s="33"/>
      <c r="D178" s="33"/>
    </row>
    <row r="179" spans="1:4" ht="20.25" x14ac:dyDescent="0.25">
      <c r="A179" s="103"/>
      <c r="B179" s="22"/>
      <c r="C179" s="33"/>
      <c r="D179" s="33"/>
    </row>
    <row r="180" spans="1:4" ht="20.25" x14ac:dyDescent="0.25">
      <c r="A180" s="103"/>
      <c r="B180" s="22"/>
      <c r="C180" s="33"/>
      <c r="D180" s="33"/>
    </row>
    <row r="181" spans="1:4" ht="20.25" x14ac:dyDescent="0.25">
      <c r="A181" s="103"/>
      <c r="B181" s="22"/>
      <c r="C181" s="33"/>
      <c r="D181" s="33"/>
    </row>
    <row r="182" spans="1:4" ht="20.25" x14ac:dyDescent="0.25">
      <c r="A182" s="103"/>
      <c r="B182" s="22"/>
      <c r="C182" s="33"/>
      <c r="D182" s="33"/>
    </row>
    <row r="183" spans="1:4" ht="20.25" x14ac:dyDescent="0.25">
      <c r="A183" s="103"/>
      <c r="B183" s="22"/>
      <c r="C183" s="33"/>
      <c r="D183" s="33"/>
    </row>
    <row r="184" spans="1:4" ht="20.25" x14ac:dyDescent="0.25">
      <c r="A184" s="103"/>
      <c r="B184" s="22"/>
      <c r="C184" s="33"/>
      <c r="D184" s="33"/>
    </row>
    <row r="185" spans="1:4" ht="20.25" x14ac:dyDescent="0.25">
      <c r="A185" s="103"/>
      <c r="B185" s="22"/>
      <c r="C185" s="33"/>
      <c r="D185" s="33"/>
    </row>
    <row r="186" spans="1:4" ht="20.25" x14ac:dyDescent="0.25">
      <c r="A186" s="103"/>
      <c r="B186" s="22"/>
      <c r="C186" s="33"/>
      <c r="D186" s="33"/>
    </row>
    <row r="187" spans="1:4" ht="20.25" x14ac:dyDescent="0.25">
      <c r="A187" s="103"/>
      <c r="B187" s="22"/>
      <c r="C187" s="33"/>
      <c r="D187" s="33"/>
    </row>
    <row r="188" spans="1:4" ht="20.25" x14ac:dyDescent="0.25">
      <c r="A188" s="103"/>
      <c r="B188" s="22"/>
      <c r="C188" s="33"/>
      <c r="D188" s="33"/>
    </row>
    <row r="189" spans="1:4" ht="20.25" x14ac:dyDescent="0.25">
      <c r="A189" s="103"/>
      <c r="B189" s="22"/>
      <c r="C189" s="33"/>
      <c r="D189" s="33"/>
    </row>
    <row r="190" spans="1:4" ht="20.25" x14ac:dyDescent="0.25">
      <c r="A190" s="103"/>
      <c r="B190" s="22"/>
      <c r="C190" s="33"/>
      <c r="D190" s="33"/>
    </row>
    <row r="191" spans="1:4" ht="20.25" x14ac:dyDescent="0.25">
      <c r="A191" s="103"/>
      <c r="B191" s="22"/>
      <c r="C191" s="33"/>
      <c r="D191" s="33"/>
    </row>
    <row r="192" spans="1:4" ht="20.25" x14ac:dyDescent="0.25">
      <c r="A192" s="103"/>
      <c r="B192" s="22"/>
      <c r="C192" s="33"/>
      <c r="D192" s="33"/>
    </row>
    <row r="193" spans="1:4" ht="20.25" x14ac:dyDescent="0.25">
      <c r="A193" s="103"/>
      <c r="B193" s="22"/>
      <c r="C193" s="33"/>
      <c r="D193" s="33"/>
    </row>
    <row r="194" spans="1:4" ht="20.25" x14ac:dyDescent="0.25">
      <c r="A194" s="103"/>
      <c r="B194" s="22"/>
      <c r="C194" s="33"/>
      <c r="D194" s="33"/>
    </row>
    <row r="195" spans="1:4" ht="20.25" x14ac:dyDescent="0.25">
      <c r="A195" s="103"/>
      <c r="B195" s="22"/>
      <c r="C195" s="33"/>
      <c r="D195" s="33"/>
    </row>
    <row r="196" spans="1:4" ht="20.25" x14ac:dyDescent="0.25">
      <c r="A196" s="103"/>
      <c r="B196" s="22"/>
      <c r="C196" s="33"/>
      <c r="D196" s="33"/>
    </row>
    <row r="197" spans="1:4" ht="20.25" x14ac:dyDescent="0.25">
      <c r="A197" s="103"/>
      <c r="B197" s="22"/>
      <c r="C197" s="33"/>
      <c r="D197" s="33"/>
    </row>
    <row r="198" spans="1:4" ht="20.25" x14ac:dyDescent="0.25">
      <c r="A198" s="103"/>
      <c r="B198" s="22"/>
      <c r="C198" s="33"/>
      <c r="D198" s="33"/>
    </row>
    <row r="199" spans="1:4" ht="20.25" x14ac:dyDescent="0.25">
      <c r="A199" s="103"/>
      <c r="B199" s="22"/>
      <c r="C199" s="33"/>
      <c r="D199" s="33"/>
    </row>
    <row r="200" spans="1:4" ht="20.25" x14ac:dyDescent="0.25">
      <c r="A200" s="103"/>
      <c r="B200" s="22"/>
      <c r="C200" s="33"/>
      <c r="D200" s="33"/>
    </row>
    <row r="201" spans="1:4" ht="20.25" x14ac:dyDescent="0.25">
      <c r="A201" s="103"/>
      <c r="B201" s="22"/>
      <c r="C201" s="33"/>
      <c r="D201" s="33"/>
    </row>
    <row r="202" spans="1:4" ht="20.25" x14ac:dyDescent="0.25">
      <c r="A202" s="103"/>
      <c r="B202" s="22"/>
      <c r="C202" s="33"/>
      <c r="D202" s="33"/>
    </row>
    <row r="203" spans="1:4" ht="20.25" x14ac:dyDescent="0.25">
      <c r="A203" s="103"/>
      <c r="B203" s="22"/>
      <c r="C203" s="33"/>
      <c r="D203" s="33"/>
    </row>
    <row r="204" spans="1:4" ht="20.25" x14ac:dyDescent="0.25">
      <c r="A204" s="103"/>
      <c r="B204" s="22"/>
      <c r="C204" s="33"/>
      <c r="D204" s="33"/>
    </row>
    <row r="205" spans="1:4" ht="20.25" x14ac:dyDescent="0.25">
      <c r="A205" s="103"/>
      <c r="B205" s="22"/>
      <c r="C205" s="33"/>
      <c r="D205" s="33"/>
    </row>
    <row r="206" spans="1:4" ht="20.25" x14ac:dyDescent="0.25">
      <c r="A206" s="103"/>
      <c r="B206" s="22"/>
      <c r="C206" s="33"/>
      <c r="D206" s="33"/>
    </row>
    <row r="207" spans="1:4" ht="20.25" x14ac:dyDescent="0.25">
      <c r="A207" s="103"/>
      <c r="B207" s="22"/>
      <c r="C207" s="33"/>
      <c r="D207" s="33"/>
    </row>
    <row r="208" spans="1:4" x14ac:dyDescent="0.25">
      <c r="A208" s="83"/>
      <c r="B208" s="22"/>
      <c r="C208" s="22"/>
      <c r="D208" s="22"/>
    </row>
    <row r="209" spans="1:8" ht="20.25" x14ac:dyDescent="0.25">
      <c r="A209" s="83"/>
      <c r="B209" s="29" t="s">
        <v>85</v>
      </c>
      <c r="C209" s="29" t="s">
        <v>127</v>
      </c>
      <c r="D209" s="32" t="s">
        <v>85</v>
      </c>
      <c r="E209" s="32" t="s">
        <v>127</v>
      </c>
    </row>
    <row r="210" spans="1:8" ht="21" x14ac:dyDescent="0.35">
      <c r="A210" s="83"/>
      <c r="B210" s="30" t="s">
        <v>87</v>
      </c>
      <c r="C210" s="30"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 x14ac:dyDescent="0.35">
      <c r="A211" s="83"/>
      <c r="B211" s="30" t="s">
        <v>87</v>
      </c>
      <c r="C211" s="30" t="s">
        <v>90</v>
      </c>
      <c r="E211" t="s">
        <v>56</v>
      </c>
      <c r="F211" t="str">
        <f t="shared" ref="F211:F221" si="0">IF(NOT(ISBLANK(D211)),D211,IF(NOT(ISBLANK(E211)),"     "&amp;E211,FALSE))</f>
        <v xml:space="preserve">     Afectación menor a 10 SMLMV .</v>
      </c>
    </row>
    <row r="212" spans="1:8" ht="21" x14ac:dyDescent="0.35">
      <c r="A212" s="83"/>
      <c r="B212" s="30" t="s">
        <v>87</v>
      </c>
      <c r="C212" s="30" t="s">
        <v>91</v>
      </c>
      <c r="E212" t="s">
        <v>90</v>
      </c>
      <c r="F212" t="str">
        <f t="shared" si="0"/>
        <v xml:space="preserve">     Entre 10 y 50 SMLMV </v>
      </c>
    </row>
    <row r="213" spans="1:8" ht="21" x14ac:dyDescent="0.35">
      <c r="A213" s="83"/>
      <c r="B213" s="30" t="s">
        <v>87</v>
      </c>
      <c r="C213" s="30" t="s">
        <v>92</v>
      </c>
      <c r="E213" t="s">
        <v>91</v>
      </c>
      <c r="F213" t="str">
        <f t="shared" si="0"/>
        <v xml:space="preserve">     Entre 50 y 100 SMLMV </v>
      </c>
    </row>
    <row r="214" spans="1:8" ht="21" x14ac:dyDescent="0.35">
      <c r="A214" s="83"/>
      <c r="B214" s="30" t="s">
        <v>87</v>
      </c>
      <c r="C214" s="30" t="s">
        <v>93</v>
      </c>
      <c r="E214" t="s">
        <v>92</v>
      </c>
      <c r="F214" t="str">
        <f t="shared" si="0"/>
        <v xml:space="preserve">     Entre 100 y 500 SMLMV </v>
      </c>
    </row>
    <row r="215" spans="1:8" ht="21" x14ac:dyDescent="0.35">
      <c r="A215" s="83"/>
      <c r="B215" s="30" t="s">
        <v>55</v>
      </c>
      <c r="C215" s="30" t="s">
        <v>94</v>
      </c>
      <c r="E215" t="s">
        <v>93</v>
      </c>
      <c r="F215" t="str">
        <f t="shared" si="0"/>
        <v xml:space="preserve">     Mayor a 500 SMLMV </v>
      </c>
    </row>
    <row r="216" spans="1:8" ht="21" x14ac:dyDescent="0.35">
      <c r="A216" s="83"/>
      <c r="B216" s="30" t="s">
        <v>55</v>
      </c>
      <c r="C216" s="30" t="s">
        <v>95</v>
      </c>
      <c r="D216" t="s">
        <v>55</v>
      </c>
      <c r="F216" t="str">
        <f t="shared" si="0"/>
        <v>Pérdida Reputacional</v>
      </c>
    </row>
    <row r="217" spans="1:8" ht="21" x14ac:dyDescent="0.35">
      <c r="A217" s="83"/>
      <c r="B217" s="30" t="s">
        <v>55</v>
      </c>
      <c r="C217" s="30" t="s">
        <v>97</v>
      </c>
      <c r="E217" t="s">
        <v>94</v>
      </c>
      <c r="F217" t="str">
        <f t="shared" si="0"/>
        <v xml:space="preserve">     El riesgo afecta la imagen de alguna área de la organización</v>
      </c>
    </row>
    <row r="218" spans="1:8" ht="21" x14ac:dyDescent="0.35">
      <c r="A218" s="83"/>
      <c r="B218" s="30" t="s">
        <v>55</v>
      </c>
      <c r="C218" s="30" t="s">
        <v>96</v>
      </c>
      <c r="E218" t="s">
        <v>95</v>
      </c>
      <c r="F218" t="str">
        <f t="shared" si="0"/>
        <v xml:space="preserve">     El riesgo afecta la imagen de la entidad internamente, de conocimiento general, nivel interno, de junta dircetiva y accionistas y/o de provedores</v>
      </c>
    </row>
    <row r="219" spans="1:8" ht="21" x14ac:dyDescent="0.35">
      <c r="A219" s="83"/>
      <c r="B219" s="30" t="s">
        <v>55</v>
      </c>
      <c r="C219" s="30" t="s">
        <v>110</v>
      </c>
      <c r="E219" t="s">
        <v>97</v>
      </c>
      <c r="F219" t="str">
        <f t="shared" si="0"/>
        <v xml:space="preserve">     El riesgo afecta la imagen de la entidad con algunos usuarios de relevancia frente al logro de los objetivos</v>
      </c>
    </row>
    <row r="220" spans="1:8" x14ac:dyDescent="0.25">
      <c r="A220" s="83"/>
      <c r="B220" s="31"/>
      <c r="C220" s="31"/>
      <c r="E220" t="s">
        <v>96</v>
      </c>
      <c r="F220" t="str">
        <f t="shared" si="0"/>
        <v xml:space="preserve">     El riesgo afecta la imagen de de la entidad con efecto publicitario sostenido a nivel de sector administrativo, nivel departamental o municipal</v>
      </c>
    </row>
    <row r="221" spans="1:8" x14ac:dyDescent="0.25">
      <c r="A221" s="83"/>
      <c r="B221" s="31" t="e" cm="1">
        <f t="array" aca="1" ref="B221:B223" ca="1">_xlfn.UNIQUE(Tabla1[[#All],[Criterios]])</f>
        <v>#NAME?</v>
      </c>
      <c r="C221" s="31"/>
      <c r="E221" t="s">
        <v>110</v>
      </c>
      <c r="F221" t="str">
        <f t="shared" si="0"/>
        <v xml:space="preserve">     El riesgo afecta la imagen de la entidad a nivel nacional, con efecto publicitarios sostenible a nivel país</v>
      </c>
    </row>
    <row r="222" spans="1:8" x14ac:dyDescent="0.25">
      <c r="A222" s="83"/>
      <c r="B222" s="31" t="e">
        <f ca="1"/>
        <v>#NAME?</v>
      </c>
      <c r="C222" s="31"/>
    </row>
    <row r="223" spans="1:8" x14ac:dyDescent="0.25">
      <c r="B223" s="31" t="e">
        <f ca="1"/>
        <v>#NAME?</v>
      </c>
      <c r="C223" s="31"/>
      <c r="F223" s="34" t="s">
        <v>129</v>
      </c>
    </row>
    <row r="224" spans="1:8" x14ac:dyDescent="0.25">
      <c r="B224" s="21"/>
      <c r="C224" s="21"/>
      <c r="F224" s="34"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32" t="s">
        <v>200</v>
      </c>
    </row>
    <row r="229" spans="2:4" x14ac:dyDescent="0.25">
      <c r="B229" s="147" t="s">
        <v>202</v>
      </c>
      <c r="C229" s="21" t="s">
        <v>192</v>
      </c>
      <c r="D229" s="145" t="s">
        <v>202</v>
      </c>
    </row>
    <row r="230" spans="2:4" x14ac:dyDescent="0.25">
      <c r="B230" s="147" t="s">
        <v>202</v>
      </c>
      <c r="C230" s="21" t="s">
        <v>193</v>
      </c>
      <c r="D230" s="146" t="s">
        <v>192</v>
      </c>
    </row>
    <row r="231" spans="2:4" x14ac:dyDescent="0.25">
      <c r="B231" s="147" t="s">
        <v>202</v>
      </c>
      <c r="C231" s="21" t="s">
        <v>194</v>
      </c>
      <c r="D231" s="146" t="s">
        <v>193</v>
      </c>
    </row>
    <row r="232" spans="2:4" x14ac:dyDescent="0.25">
      <c r="B232" s="147" t="s">
        <v>203</v>
      </c>
      <c r="C232" s="21" t="s">
        <v>195</v>
      </c>
      <c r="D232" s="146" t="s">
        <v>194</v>
      </c>
    </row>
    <row r="233" spans="2:4" x14ac:dyDescent="0.25">
      <c r="B233" s="147" t="s">
        <v>203</v>
      </c>
      <c r="C233" s="21" t="s">
        <v>196</v>
      </c>
      <c r="D233" s="145" t="s">
        <v>203</v>
      </c>
    </row>
    <row r="234" spans="2:4" x14ac:dyDescent="0.25">
      <c r="B234" s="147" t="s">
        <v>203</v>
      </c>
      <c r="C234" s="21" t="s">
        <v>197</v>
      </c>
      <c r="D234" s="146" t="s">
        <v>195</v>
      </c>
    </row>
    <row r="235" spans="2:4" x14ac:dyDescent="0.25">
      <c r="B235" s="147" t="s">
        <v>203</v>
      </c>
      <c r="C235" s="21" t="s">
        <v>198</v>
      </c>
      <c r="D235" s="146" t="s">
        <v>196</v>
      </c>
    </row>
    <row r="236" spans="2:4" x14ac:dyDescent="0.25">
      <c r="D236" s="146" t="s">
        <v>197</v>
      </c>
    </row>
    <row r="237" spans="2:4" x14ac:dyDescent="0.25">
      <c r="D237" s="146" t="s">
        <v>198</v>
      </c>
    </row>
    <row r="238" spans="2:4" x14ac:dyDescent="0.25">
      <c r="D238" s="145" t="s">
        <v>201</v>
      </c>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8"/>
    <col min="3" max="3" width="17" style="88" customWidth="1"/>
    <col min="4" max="4" width="14.42578125" style="88"/>
    <col min="5" max="5" width="46" style="88" customWidth="1"/>
    <col min="6" max="16384" width="14.42578125" style="88"/>
  </cols>
  <sheetData>
    <row r="1" spans="2:6" ht="24" customHeight="1" thickBot="1" x14ac:dyDescent="0.25">
      <c r="B1" s="424" t="s">
        <v>204</v>
      </c>
      <c r="C1" s="425"/>
      <c r="D1" s="425"/>
      <c r="E1" s="425"/>
      <c r="F1" s="426"/>
    </row>
    <row r="2" spans="2:6" ht="16.5" thickBot="1" x14ac:dyDescent="0.3">
      <c r="B2" s="89"/>
      <c r="C2" s="89"/>
      <c r="D2" s="89"/>
      <c r="E2" s="89"/>
      <c r="F2" s="89"/>
    </row>
    <row r="3" spans="2:6" ht="16.5" thickBot="1" x14ac:dyDescent="0.25">
      <c r="B3" s="428" t="s">
        <v>62</v>
      </c>
      <c r="C3" s="429"/>
      <c r="D3" s="429"/>
      <c r="E3" s="101" t="s">
        <v>63</v>
      </c>
      <c r="F3" s="102" t="s">
        <v>64</v>
      </c>
    </row>
    <row r="4" spans="2:6" ht="31.5" x14ac:dyDescent="0.2">
      <c r="B4" s="430" t="s">
        <v>65</v>
      </c>
      <c r="C4" s="432" t="s">
        <v>12</v>
      </c>
      <c r="D4" s="90" t="s">
        <v>13</v>
      </c>
      <c r="E4" s="91" t="s">
        <v>66</v>
      </c>
      <c r="F4" s="92">
        <v>0.25</v>
      </c>
    </row>
    <row r="5" spans="2:6" ht="47.25" x14ac:dyDescent="0.2">
      <c r="B5" s="431"/>
      <c r="C5" s="433"/>
      <c r="D5" s="93" t="s">
        <v>14</v>
      </c>
      <c r="E5" s="94" t="s">
        <v>67</v>
      </c>
      <c r="F5" s="95">
        <v>0.15</v>
      </c>
    </row>
    <row r="6" spans="2:6" ht="47.25" x14ac:dyDescent="0.2">
      <c r="B6" s="431"/>
      <c r="C6" s="433"/>
      <c r="D6" s="93" t="s">
        <v>15</v>
      </c>
      <c r="E6" s="94" t="s">
        <v>68</v>
      </c>
      <c r="F6" s="95">
        <v>0.1</v>
      </c>
    </row>
    <row r="7" spans="2:6" ht="63" x14ac:dyDescent="0.2">
      <c r="B7" s="431"/>
      <c r="C7" s="433" t="s">
        <v>16</v>
      </c>
      <c r="D7" s="93" t="s">
        <v>9</v>
      </c>
      <c r="E7" s="94" t="s">
        <v>69</v>
      </c>
      <c r="F7" s="95">
        <v>0.25</v>
      </c>
    </row>
    <row r="8" spans="2:6" ht="31.5" x14ac:dyDescent="0.2">
      <c r="B8" s="431"/>
      <c r="C8" s="433"/>
      <c r="D8" s="93" t="s">
        <v>8</v>
      </c>
      <c r="E8" s="94" t="s">
        <v>70</v>
      </c>
      <c r="F8" s="95">
        <v>0.15</v>
      </c>
    </row>
    <row r="9" spans="2:6" ht="47.25" x14ac:dyDescent="0.2">
      <c r="B9" s="431" t="s">
        <v>144</v>
      </c>
      <c r="C9" s="433" t="s">
        <v>17</v>
      </c>
      <c r="D9" s="93" t="s">
        <v>18</v>
      </c>
      <c r="E9" s="94" t="s">
        <v>71</v>
      </c>
      <c r="F9" s="96" t="s">
        <v>72</v>
      </c>
    </row>
    <row r="10" spans="2:6" ht="63" x14ac:dyDescent="0.2">
      <c r="B10" s="431"/>
      <c r="C10" s="433"/>
      <c r="D10" s="93" t="s">
        <v>19</v>
      </c>
      <c r="E10" s="94" t="s">
        <v>73</v>
      </c>
      <c r="F10" s="96" t="s">
        <v>72</v>
      </c>
    </row>
    <row r="11" spans="2:6" ht="47.25" x14ac:dyDescent="0.2">
      <c r="B11" s="431"/>
      <c r="C11" s="433" t="s">
        <v>20</v>
      </c>
      <c r="D11" s="93" t="s">
        <v>21</v>
      </c>
      <c r="E11" s="94" t="s">
        <v>74</v>
      </c>
      <c r="F11" s="96" t="s">
        <v>72</v>
      </c>
    </row>
    <row r="12" spans="2:6" ht="47.25" x14ac:dyDescent="0.2">
      <c r="B12" s="431"/>
      <c r="C12" s="433"/>
      <c r="D12" s="93" t="s">
        <v>22</v>
      </c>
      <c r="E12" s="94" t="s">
        <v>75</v>
      </c>
      <c r="F12" s="96" t="s">
        <v>72</v>
      </c>
    </row>
    <row r="13" spans="2:6" ht="31.5" x14ac:dyDescent="0.2">
      <c r="B13" s="431"/>
      <c r="C13" s="433" t="s">
        <v>23</v>
      </c>
      <c r="D13" s="93" t="s">
        <v>111</v>
      </c>
      <c r="E13" s="94" t="s">
        <v>114</v>
      </c>
      <c r="F13" s="96" t="s">
        <v>72</v>
      </c>
    </row>
    <row r="14" spans="2:6" ht="32.25" thickBot="1" x14ac:dyDescent="0.25">
      <c r="B14" s="434"/>
      <c r="C14" s="435"/>
      <c r="D14" s="97" t="s">
        <v>112</v>
      </c>
      <c r="E14" s="98" t="s">
        <v>113</v>
      </c>
      <c r="F14" s="99" t="s">
        <v>72</v>
      </c>
    </row>
    <row r="15" spans="2:6" ht="49.7" customHeight="1" x14ac:dyDescent="0.2">
      <c r="B15" s="427" t="s">
        <v>141</v>
      </c>
      <c r="C15" s="427"/>
      <c r="D15" s="427"/>
      <c r="E15" s="427"/>
      <c r="F15" s="427"/>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42" t="s">
        <v>174</v>
      </c>
      <c r="D1" s="436" t="s">
        <v>175</v>
      </c>
      <c r="E1" s="437"/>
    </row>
    <row r="2" spans="1:5" x14ac:dyDescent="0.25">
      <c r="A2" s="151" t="s">
        <v>246</v>
      </c>
      <c r="D2" s="438" t="s">
        <v>176</v>
      </c>
      <c r="E2" s="159" t="s">
        <v>266</v>
      </c>
    </row>
    <row r="3" spans="1:5" x14ac:dyDescent="0.25">
      <c r="A3" s="152" t="s">
        <v>247</v>
      </c>
      <c r="D3" s="439"/>
      <c r="E3" s="160" t="s">
        <v>267</v>
      </c>
    </row>
    <row r="4" spans="1:5" x14ac:dyDescent="0.25">
      <c r="A4" s="153" t="s">
        <v>248</v>
      </c>
      <c r="D4" s="439"/>
      <c r="E4" s="160" t="s">
        <v>268</v>
      </c>
    </row>
    <row r="5" spans="1:5" x14ac:dyDescent="0.25">
      <c r="A5" s="154" t="s">
        <v>249</v>
      </c>
      <c r="D5" s="440"/>
      <c r="E5" s="160" t="s">
        <v>269</v>
      </c>
    </row>
    <row r="6" spans="1:5" ht="30" x14ac:dyDescent="0.25">
      <c r="A6" s="152" t="s">
        <v>250</v>
      </c>
      <c r="D6" s="438" t="s">
        <v>177</v>
      </c>
      <c r="E6" s="160" t="s">
        <v>243</v>
      </c>
    </row>
    <row r="7" spans="1:5" ht="30" x14ac:dyDescent="0.25">
      <c r="A7" s="152" t="s">
        <v>251</v>
      </c>
      <c r="D7" s="439"/>
      <c r="E7" s="160" t="s">
        <v>270</v>
      </c>
    </row>
    <row r="8" spans="1:5" x14ac:dyDescent="0.25">
      <c r="A8" s="155" t="s">
        <v>252</v>
      </c>
      <c r="D8" s="439"/>
      <c r="E8" s="160" t="s">
        <v>242</v>
      </c>
    </row>
    <row r="9" spans="1:5" x14ac:dyDescent="0.25">
      <c r="A9" s="155" t="s">
        <v>253</v>
      </c>
      <c r="D9" s="438" t="s">
        <v>178</v>
      </c>
      <c r="E9" s="160" t="s">
        <v>271</v>
      </c>
    </row>
    <row r="10" spans="1:5" x14ac:dyDescent="0.25">
      <c r="A10" s="156" t="s">
        <v>254</v>
      </c>
      <c r="D10" s="439"/>
      <c r="E10" s="160" t="s">
        <v>272</v>
      </c>
    </row>
    <row r="11" spans="1:5" x14ac:dyDescent="0.25">
      <c r="A11" s="155" t="s">
        <v>255</v>
      </c>
      <c r="D11" s="438" t="s">
        <v>179</v>
      </c>
      <c r="E11" s="160" t="s">
        <v>244</v>
      </c>
    </row>
    <row r="12" spans="1:5" x14ac:dyDescent="0.25">
      <c r="A12" s="157" t="s">
        <v>256</v>
      </c>
      <c r="D12" s="439"/>
      <c r="E12" s="160" t="s">
        <v>273</v>
      </c>
    </row>
    <row r="13" spans="1:5" x14ac:dyDescent="0.25">
      <c r="A13" s="152" t="s">
        <v>257</v>
      </c>
      <c r="D13" s="440"/>
      <c r="E13" s="160" t="s">
        <v>274</v>
      </c>
    </row>
    <row r="14" spans="1:5" ht="30" x14ac:dyDescent="0.25">
      <c r="A14" s="155" t="s">
        <v>258</v>
      </c>
      <c r="E14" s="160" t="s">
        <v>275</v>
      </c>
    </row>
    <row r="15" spans="1:5" x14ac:dyDescent="0.25">
      <c r="A15" s="152" t="s">
        <v>259</v>
      </c>
      <c r="D15" s="143" t="s">
        <v>183</v>
      </c>
      <c r="E15" s="160" t="s">
        <v>245</v>
      </c>
    </row>
    <row r="16" spans="1:5" x14ac:dyDescent="0.25">
      <c r="A16" s="152" t="s">
        <v>260</v>
      </c>
      <c r="D16" s="144" t="s">
        <v>184</v>
      </c>
      <c r="E16" s="160" t="s">
        <v>239</v>
      </c>
    </row>
    <row r="17" spans="1:7" x14ac:dyDescent="0.25">
      <c r="A17" s="157" t="s">
        <v>261</v>
      </c>
      <c r="D17" s="144" t="s">
        <v>185</v>
      </c>
      <c r="E17" s="160" t="s">
        <v>240</v>
      </c>
    </row>
    <row r="18" spans="1:7" x14ac:dyDescent="0.25">
      <c r="A18" s="154" t="s">
        <v>262</v>
      </c>
      <c r="D18" s="144" t="s">
        <v>186</v>
      </c>
      <c r="E18" s="160" t="s">
        <v>238</v>
      </c>
    </row>
    <row r="19" spans="1:7" ht="30" x14ac:dyDescent="0.25">
      <c r="A19" s="155" t="s">
        <v>263</v>
      </c>
      <c r="D19" s="144" t="s">
        <v>187</v>
      </c>
      <c r="E19" s="160" t="s">
        <v>276</v>
      </c>
    </row>
    <row r="20" spans="1:7" x14ac:dyDescent="0.25">
      <c r="A20" s="156" t="s">
        <v>245</v>
      </c>
      <c r="D20" s="144" t="s">
        <v>188</v>
      </c>
      <c r="E20" s="160" t="s">
        <v>241</v>
      </c>
    </row>
    <row r="21" spans="1:7" x14ac:dyDescent="0.25">
      <c r="A21" s="152" t="s">
        <v>264</v>
      </c>
      <c r="D21" s="144" t="s">
        <v>189</v>
      </c>
      <c r="E21" s="160" t="s">
        <v>277</v>
      </c>
    </row>
    <row r="22" spans="1:7" ht="15.75" thickBot="1" x14ac:dyDescent="0.3">
      <c r="A22" s="158" t="s">
        <v>265</v>
      </c>
      <c r="D22" s="144" t="s">
        <v>190</v>
      </c>
      <c r="E22" s="160" t="s">
        <v>278</v>
      </c>
    </row>
    <row r="23" spans="1:7" x14ac:dyDescent="0.25">
      <c r="A23" s="148"/>
      <c r="E23" s="160" t="s">
        <v>279</v>
      </c>
    </row>
    <row r="24" spans="1:7" x14ac:dyDescent="0.25">
      <c r="A24" s="143" t="s">
        <v>191</v>
      </c>
      <c r="E24" s="160" t="s">
        <v>280</v>
      </c>
    </row>
    <row r="25" spans="1:7" ht="20.25" x14ac:dyDescent="0.25">
      <c r="A25" s="144" t="s">
        <v>184</v>
      </c>
      <c r="B25" s="29"/>
      <c r="E25" s="160" t="s">
        <v>281</v>
      </c>
    </row>
    <row r="26" spans="1:7" ht="21" x14ac:dyDescent="0.35">
      <c r="A26" s="144" t="s">
        <v>185</v>
      </c>
      <c r="B26" s="30"/>
      <c r="E26" s="160" t="s">
        <v>282</v>
      </c>
      <c r="F26" t="s">
        <v>87</v>
      </c>
      <c r="G26" t="str">
        <f ca="1">IF(NOT(ISERROR(MATCH(F26,_xlfn.ANCHORARRAY(A37),0))),E39&amp;"Por favor no seleccionar los criterios de impacto",F26)</f>
        <v>Afectación Económica o presupuestal</v>
      </c>
    </row>
    <row r="27" spans="1:7" ht="21.75" thickBot="1" x14ac:dyDescent="0.4">
      <c r="A27" s="144" t="s">
        <v>186</v>
      </c>
      <c r="B27" s="30"/>
      <c r="E27" s="161" t="s">
        <v>283</v>
      </c>
    </row>
    <row r="28" spans="1:7" ht="21" x14ac:dyDescent="0.35">
      <c r="A28" s="144" t="s">
        <v>187</v>
      </c>
      <c r="B28" s="30"/>
    </row>
    <row r="29" spans="1:7" ht="21" x14ac:dyDescent="0.35">
      <c r="A29" s="144" t="s">
        <v>188</v>
      </c>
      <c r="B29" s="30"/>
    </row>
    <row r="30" spans="1:7" ht="21" x14ac:dyDescent="0.35">
      <c r="A30" s="144" t="s">
        <v>189</v>
      </c>
      <c r="B30" s="30"/>
    </row>
    <row r="31" spans="1:7" ht="21" x14ac:dyDescent="0.35">
      <c r="A31" s="144" t="s">
        <v>190</v>
      </c>
      <c r="B31" s="30"/>
    </row>
    <row r="32" spans="1:7" ht="21" x14ac:dyDescent="0.35">
      <c r="A32" s="30"/>
      <c r="B32" s="30"/>
    </row>
    <row r="33" spans="1:2" ht="21" x14ac:dyDescent="0.35">
      <c r="A33" s="30"/>
      <c r="B33" s="30"/>
    </row>
    <row r="34" spans="1:2" ht="21" x14ac:dyDescent="0.35">
      <c r="A34" s="30"/>
      <c r="B34" s="30"/>
    </row>
    <row r="35" spans="1:2" ht="21" x14ac:dyDescent="0.35">
      <c r="A35" s="30"/>
      <c r="B35" s="30"/>
    </row>
    <row r="36" spans="1:2" x14ac:dyDescent="0.25">
      <c r="A36" s="31"/>
      <c r="B36" s="31"/>
    </row>
  </sheetData>
  <mergeCells count="5">
    <mergeCell ref="D1:E1"/>
    <mergeCell ref="D2:D5"/>
    <mergeCell ref="D6:D8"/>
    <mergeCell ref="D9:D10"/>
    <mergeCell ref="D11:D13"/>
  </mergeCells>
  <dataValidations count="1">
    <dataValidation type="list" allowBlank="1" showInputMessage="1" showErrorMessage="1" sqref="F26">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Gestion TIC</cp:lastModifiedBy>
  <cp:lastPrinted>2020-05-13T01:12:22Z</cp:lastPrinted>
  <dcterms:created xsi:type="dcterms:W3CDTF">2020-03-24T23:12:47Z</dcterms:created>
  <dcterms:modified xsi:type="dcterms:W3CDTF">2023-10-20T16:30:41Z</dcterms:modified>
</cp:coreProperties>
</file>